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:\Můj disk\aktuální práce\Ivančice-park u Cihelny\aktualizace dokumentace březen25\1. ETAPA DVZ_ROZPOČTY\"/>
    </mc:Choice>
  </mc:AlternateContent>
  <xr:revisionPtr revIDLastSave="0" documentId="13_ncr:1_{4E4EDF27-6CA0-4CDE-AA01-C365010FD36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Titles" localSheetId="0">'Stavební rozpočet'!$10:$11</definedName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3" l="1"/>
  <c r="F44" i="3"/>
  <c r="I42" i="3"/>
  <c r="F42" i="3"/>
  <c r="F41" i="3"/>
  <c r="I41" i="3" s="1"/>
  <c r="I40" i="3"/>
  <c r="F40" i="3"/>
  <c r="F39" i="3"/>
  <c r="I39" i="3" s="1"/>
  <c r="I38" i="3"/>
  <c r="F38" i="3"/>
  <c r="F37" i="3"/>
  <c r="I37" i="3" s="1"/>
  <c r="I36" i="3"/>
  <c r="F36" i="3"/>
  <c r="I26" i="3"/>
  <c r="I19" i="2" s="1"/>
  <c r="I25" i="3"/>
  <c r="I18" i="2" s="1"/>
  <c r="I24" i="3"/>
  <c r="I23" i="3"/>
  <c r="I22" i="3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7" i="2"/>
  <c r="I16" i="2"/>
  <c r="F16" i="2"/>
  <c r="I15" i="2"/>
  <c r="I10" i="2"/>
  <c r="F10" i="2"/>
  <c r="C10" i="2"/>
  <c r="F8" i="2"/>
  <c r="C8" i="2"/>
  <c r="F6" i="2"/>
  <c r="C6" i="2"/>
  <c r="F4" i="2"/>
  <c r="C4" i="2"/>
  <c r="F2" i="2"/>
  <c r="C2" i="2"/>
  <c r="BU199" i="1"/>
  <c r="F43" i="3" s="1"/>
  <c r="I43" i="3" s="1"/>
  <c r="BJ199" i="1"/>
  <c r="BF199" i="1"/>
  <c r="BD199" i="1"/>
  <c r="AP199" i="1"/>
  <c r="AX199" i="1" s="1"/>
  <c r="AO199" i="1"/>
  <c r="AL199" i="1"/>
  <c r="AU198" i="1" s="1"/>
  <c r="AK199" i="1"/>
  <c r="AJ199" i="1"/>
  <c r="AH199" i="1"/>
  <c r="AG199" i="1"/>
  <c r="AF199" i="1"/>
  <c r="AE199" i="1"/>
  <c r="AD199" i="1"/>
  <c r="AC199" i="1"/>
  <c r="AB199" i="1"/>
  <c r="Z199" i="1"/>
  <c r="J199" i="1"/>
  <c r="I199" i="1"/>
  <c r="I198" i="1" s="1"/>
  <c r="AT198" i="1"/>
  <c r="AS198" i="1"/>
  <c r="J198" i="1"/>
  <c r="BO197" i="1"/>
  <c r="BJ197" i="1"/>
  <c r="BH197" i="1"/>
  <c r="BF197" i="1"/>
  <c r="BD197" i="1"/>
  <c r="AP197" i="1"/>
  <c r="AX197" i="1" s="1"/>
  <c r="AO197" i="1"/>
  <c r="AL197" i="1"/>
  <c r="AU196" i="1" s="1"/>
  <c r="AK197" i="1"/>
  <c r="AJ197" i="1"/>
  <c r="AH197" i="1"/>
  <c r="AG197" i="1"/>
  <c r="AF197" i="1"/>
  <c r="AE197" i="1"/>
  <c r="AD197" i="1"/>
  <c r="AC197" i="1"/>
  <c r="AB197" i="1"/>
  <c r="Z197" i="1"/>
  <c r="J197" i="1"/>
  <c r="I197" i="1"/>
  <c r="AT196" i="1"/>
  <c r="AS196" i="1"/>
  <c r="J196" i="1"/>
  <c r="I196" i="1"/>
  <c r="BM195" i="1"/>
  <c r="BJ195" i="1"/>
  <c r="BH195" i="1"/>
  <c r="BF195" i="1"/>
  <c r="BD195" i="1"/>
  <c r="AP195" i="1"/>
  <c r="AX195" i="1" s="1"/>
  <c r="AO195" i="1"/>
  <c r="AL195" i="1"/>
  <c r="AK195" i="1"/>
  <c r="AJ195" i="1"/>
  <c r="AH195" i="1"/>
  <c r="AG195" i="1"/>
  <c r="AF195" i="1"/>
  <c r="AE195" i="1"/>
  <c r="AD195" i="1"/>
  <c r="AC195" i="1"/>
  <c r="AB195" i="1"/>
  <c r="Z195" i="1"/>
  <c r="J195" i="1"/>
  <c r="I195" i="1"/>
  <c r="BM194" i="1"/>
  <c r="BJ194" i="1"/>
  <c r="BF194" i="1"/>
  <c r="BD194" i="1"/>
  <c r="AP194" i="1"/>
  <c r="AO194" i="1"/>
  <c r="BH194" i="1" s="1"/>
  <c r="AL194" i="1"/>
  <c r="AK194" i="1"/>
  <c r="AJ194" i="1"/>
  <c r="AH194" i="1"/>
  <c r="AG194" i="1"/>
  <c r="AF194" i="1"/>
  <c r="AE194" i="1"/>
  <c r="AD194" i="1"/>
  <c r="AC194" i="1"/>
  <c r="AB194" i="1"/>
  <c r="Z194" i="1"/>
  <c r="J194" i="1"/>
  <c r="H194" i="1"/>
  <c r="BM193" i="1"/>
  <c r="BJ193" i="1"/>
  <c r="BF193" i="1"/>
  <c r="BD193" i="1"/>
  <c r="AX193" i="1"/>
  <c r="AW193" i="1"/>
  <c r="AP193" i="1"/>
  <c r="BI193" i="1" s="1"/>
  <c r="AO193" i="1"/>
  <c r="BH193" i="1" s="1"/>
  <c r="AK193" i="1"/>
  <c r="AJ193" i="1"/>
  <c r="AH193" i="1"/>
  <c r="AG193" i="1"/>
  <c r="AF193" i="1"/>
  <c r="AE193" i="1"/>
  <c r="AD193" i="1"/>
  <c r="AC193" i="1"/>
  <c r="AB193" i="1"/>
  <c r="Z193" i="1"/>
  <c r="J193" i="1"/>
  <c r="AL193" i="1" s="1"/>
  <c r="I193" i="1"/>
  <c r="H193" i="1"/>
  <c r="BM192" i="1"/>
  <c r="BJ192" i="1"/>
  <c r="BF192" i="1"/>
  <c r="BD192" i="1"/>
  <c r="BC192" i="1"/>
  <c r="AW192" i="1"/>
  <c r="AP192" i="1"/>
  <c r="AX192" i="1" s="1"/>
  <c r="AO192" i="1"/>
  <c r="BH192" i="1" s="1"/>
  <c r="AK192" i="1"/>
  <c r="AT191" i="1" s="1"/>
  <c r="AJ192" i="1"/>
  <c r="AS191" i="1" s="1"/>
  <c r="AH192" i="1"/>
  <c r="AG192" i="1"/>
  <c r="AF192" i="1"/>
  <c r="AE192" i="1"/>
  <c r="AD192" i="1"/>
  <c r="AC192" i="1"/>
  <c r="AB192" i="1"/>
  <c r="Z192" i="1"/>
  <c r="J192" i="1"/>
  <c r="AL192" i="1" s="1"/>
  <c r="I192" i="1"/>
  <c r="H192" i="1"/>
  <c r="J191" i="1"/>
  <c r="BJ188" i="1"/>
  <c r="Z188" i="1" s="1"/>
  <c r="BF188" i="1"/>
  <c r="BD188" i="1"/>
  <c r="AW188" i="1"/>
  <c r="AP188" i="1"/>
  <c r="BI188" i="1" s="1"/>
  <c r="AO188" i="1"/>
  <c r="BH188" i="1" s="1"/>
  <c r="AK188" i="1"/>
  <c r="AJ188" i="1"/>
  <c r="AH188" i="1"/>
  <c r="AG188" i="1"/>
  <c r="AF188" i="1"/>
  <c r="AE188" i="1"/>
  <c r="AD188" i="1"/>
  <c r="AC188" i="1"/>
  <c r="AB188" i="1"/>
  <c r="J188" i="1"/>
  <c r="AL188" i="1" s="1"/>
  <c r="I188" i="1"/>
  <c r="H188" i="1"/>
  <c r="BJ186" i="1"/>
  <c r="BF186" i="1"/>
  <c r="BD186" i="1"/>
  <c r="AX186" i="1"/>
  <c r="AW186" i="1"/>
  <c r="AP186" i="1"/>
  <c r="BI186" i="1" s="1"/>
  <c r="AE186" i="1" s="1"/>
  <c r="AO186" i="1"/>
  <c r="BH186" i="1" s="1"/>
  <c r="AD186" i="1" s="1"/>
  <c r="AK186" i="1"/>
  <c r="AJ186" i="1"/>
  <c r="AH186" i="1"/>
  <c r="AG186" i="1"/>
  <c r="AF186" i="1"/>
  <c r="AC186" i="1"/>
  <c r="AB186" i="1"/>
  <c r="Z186" i="1"/>
  <c r="J186" i="1"/>
  <c r="AL186" i="1" s="1"/>
  <c r="I186" i="1"/>
  <c r="I181" i="1" s="1"/>
  <c r="H186" i="1"/>
  <c r="BJ185" i="1"/>
  <c r="BF185" i="1"/>
  <c r="BD185" i="1"/>
  <c r="AX185" i="1"/>
  <c r="AP185" i="1"/>
  <c r="I185" i="1" s="1"/>
  <c r="AO185" i="1"/>
  <c r="AW185" i="1" s="1"/>
  <c r="AK185" i="1"/>
  <c r="AJ185" i="1"/>
  <c r="AH185" i="1"/>
  <c r="AG185" i="1"/>
  <c r="AF185" i="1"/>
  <c r="AC185" i="1"/>
  <c r="AB185" i="1"/>
  <c r="Z185" i="1"/>
  <c r="J185" i="1"/>
  <c r="AL185" i="1" s="1"/>
  <c r="AU181" i="1" s="1"/>
  <c r="H185" i="1"/>
  <c r="BJ182" i="1"/>
  <c r="BF182" i="1"/>
  <c r="BD182" i="1"/>
  <c r="BC182" i="1"/>
  <c r="AW182" i="1"/>
  <c r="AP182" i="1"/>
  <c r="AX182" i="1" s="1"/>
  <c r="AO182" i="1"/>
  <c r="BH182" i="1" s="1"/>
  <c r="AD182" i="1" s="1"/>
  <c r="AL182" i="1"/>
  <c r="AK182" i="1"/>
  <c r="AT181" i="1" s="1"/>
  <c r="AJ182" i="1"/>
  <c r="AS181" i="1" s="1"/>
  <c r="AH182" i="1"/>
  <c r="AG182" i="1"/>
  <c r="AF182" i="1"/>
  <c r="AC182" i="1"/>
  <c r="AB182" i="1"/>
  <c r="Z182" i="1"/>
  <c r="J182" i="1"/>
  <c r="I182" i="1"/>
  <c r="H182" i="1"/>
  <c r="H181" i="1" s="1"/>
  <c r="BJ179" i="1"/>
  <c r="BF179" i="1"/>
  <c r="BD179" i="1"/>
  <c r="AX179" i="1"/>
  <c r="AP179" i="1"/>
  <c r="I179" i="1" s="1"/>
  <c r="AO179" i="1"/>
  <c r="AW179" i="1" s="1"/>
  <c r="AV179" i="1" s="1"/>
  <c r="AK179" i="1"/>
  <c r="AJ179" i="1"/>
  <c r="AH179" i="1"/>
  <c r="AG179" i="1"/>
  <c r="AF179" i="1"/>
  <c r="AE179" i="1"/>
  <c r="AD179" i="1"/>
  <c r="Z179" i="1"/>
  <c r="J179" i="1"/>
  <c r="AL179" i="1" s="1"/>
  <c r="H179" i="1"/>
  <c r="BJ175" i="1"/>
  <c r="BF175" i="1"/>
  <c r="BD175" i="1"/>
  <c r="AW175" i="1"/>
  <c r="AP175" i="1"/>
  <c r="AX175" i="1" s="1"/>
  <c r="BC175" i="1" s="1"/>
  <c r="AO175" i="1"/>
  <c r="BH175" i="1" s="1"/>
  <c r="AL175" i="1"/>
  <c r="AK175" i="1"/>
  <c r="AJ175" i="1"/>
  <c r="AH175" i="1"/>
  <c r="AG175" i="1"/>
  <c r="AF175" i="1"/>
  <c r="AE175" i="1"/>
  <c r="AD175" i="1"/>
  <c r="AB175" i="1"/>
  <c r="Z175" i="1"/>
  <c r="J175" i="1"/>
  <c r="I175" i="1"/>
  <c r="H175" i="1"/>
  <c r="BJ173" i="1"/>
  <c r="BF173" i="1"/>
  <c r="BD173" i="1"/>
  <c r="AX173" i="1"/>
  <c r="AP173" i="1"/>
  <c r="BI173" i="1" s="1"/>
  <c r="AC173" i="1" s="1"/>
  <c r="AO173" i="1"/>
  <c r="AW173" i="1" s="1"/>
  <c r="AL173" i="1"/>
  <c r="AK173" i="1"/>
  <c r="AJ173" i="1"/>
  <c r="AH173" i="1"/>
  <c r="AG173" i="1"/>
  <c r="AF173" i="1"/>
  <c r="AE173" i="1"/>
  <c r="AD173" i="1"/>
  <c r="Z173" i="1"/>
  <c r="J173" i="1"/>
  <c r="I173" i="1"/>
  <c r="H173" i="1"/>
  <c r="BJ171" i="1"/>
  <c r="BF171" i="1"/>
  <c r="BD171" i="1"/>
  <c r="AP171" i="1"/>
  <c r="AX171" i="1" s="1"/>
  <c r="AO171" i="1"/>
  <c r="AL171" i="1"/>
  <c r="AK171" i="1"/>
  <c r="AJ171" i="1"/>
  <c r="AH171" i="1"/>
  <c r="AG171" i="1"/>
  <c r="AF171" i="1"/>
  <c r="AE171" i="1"/>
  <c r="AD171" i="1"/>
  <c r="Z171" i="1"/>
  <c r="J171" i="1"/>
  <c r="I171" i="1"/>
  <c r="BJ169" i="1"/>
  <c r="BF169" i="1"/>
  <c r="BD169" i="1"/>
  <c r="AP169" i="1"/>
  <c r="AO169" i="1"/>
  <c r="AK169" i="1"/>
  <c r="AJ169" i="1"/>
  <c r="AH169" i="1"/>
  <c r="AG169" i="1"/>
  <c r="AF169" i="1"/>
  <c r="AE169" i="1"/>
  <c r="AD169" i="1"/>
  <c r="Z169" i="1"/>
  <c r="J169" i="1"/>
  <c r="AL169" i="1" s="1"/>
  <c r="BJ166" i="1"/>
  <c r="BF166" i="1"/>
  <c r="BD166" i="1"/>
  <c r="AW166" i="1"/>
  <c r="AP166" i="1"/>
  <c r="BI166" i="1" s="1"/>
  <c r="AC166" i="1" s="1"/>
  <c r="AO166" i="1"/>
  <c r="BH166" i="1" s="1"/>
  <c r="AB166" i="1" s="1"/>
  <c r="AL166" i="1"/>
  <c r="AK166" i="1"/>
  <c r="AJ166" i="1"/>
  <c r="AH166" i="1"/>
  <c r="AG166" i="1"/>
  <c r="AF166" i="1"/>
  <c r="AE166" i="1"/>
  <c r="AD166" i="1"/>
  <c r="Z166" i="1"/>
  <c r="J166" i="1"/>
  <c r="H166" i="1"/>
  <c r="BJ163" i="1"/>
  <c r="BF163" i="1"/>
  <c r="BD163" i="1"/>
  <c r="AX163" i="1"/>
  <c r="AV163" i="1" s="1"/>
  <c r="AW163" i="1"/>
  <c r="AP163" i="1"/>
  <c r="BI163" i="1" s="1"/>
  <c r="AC163" i="1" s="1"/>
  <c r="AO163" i="1"/>
  <c r="BH163" i="1" s="1"/>
  <c r="AB163" i="1" s="1"/>
  <c r="AK163" i="1"/>
  <c r="AJ163" i="1"/>
  <c r="AS101" i="1" s="1"/>
  <c r="AH163" i="1"/>
  <c r="AG163" i="1"/>
  <c r="AF163" i="1"/>
  <c r="AE163" i="1"/>
  <c r="AD163" i="1"/>
  <c r="Z163" i="1"/>
  <c r="J163" i="1"/>
  <c r="AL163" i="1" s="1"/>
  <c r="I163" i="1"/>
  <c r="H163" i="1"/>
  <c r="BJ160" i="1"/>
  <c r="BF160" i="1"/>
  <c r="BD160" i="1"/>
  <c r="AX160" i="1"/>
  <c r="AW160" i="1"/>
  <c r="AP160" i="1"/>
  <c r="BI160" i="1" s="1"/>
  <c r="AC160" i="1" s="1"/>
  <c r="AO160" i="1"/>
  <c r="H160" i="1" s="1"/>
  <c r="AK160" i="1"/>
  <c r="AJ160" i="1"/>
  <c r="AH160" i="1"/>
  <c r="AG160" i="1"/>
  <c r="AF160" i="1"/>
  <c r="AE160" i="1"/>
  <c r="AD160" i="1"/>
  <c r="Z160" i="1"/>
  <c r="J160" i="1"/>
  <c r="AL160" i="1" s="1"/>
  <c r="I160" i="1"/>
  <c r="BJ157" i="1"/>
  <c r="BF157" i="1"/>
  <c r="BD157" i="1"/>
  <c r="AX157" i="1"/>
  <c r="AP157" i="1"/>
  <c r="I157" i="1" s="1"/>
  <c r="AO157" i="1"/>
  <c r="AW157" i="1" s="1"/>
  <c r="AK157" i="1"/>
  <c r="AJ157" i="1"/>
  <c r="AH157" i="1"/>
  <c r="AG157" i="1"/>
  <c r="AF157" i="1"/>
  <c r="AE157" i="1"/>
  <c r="AD157" i="1"/>
  <c r="Z157" i="1"/>
  <c r="J157" i="1"/>
  <c r="AL157" i="1" s="1"/>
  <c r="H157" i="1"/>
  <c r="BJ156" i="1"/>
  <c r="BF156" i="1"/>
  <c r="BD156" i="1"/>
  <c r="BC156" i="1"/>
  <c r="AP156" i="1"/>
  <c r="AX156" i="1" s="1"/>
  <c r="AO156" i="1"/>
  <c r="AW156" i="1" s="1"/>
  <c r="AV156" i="1" s="1"/>
  <c r="AL156" i="1"/>
  <c r="AK156" i="1"/>
  <c r="AJ156" i="1"/>
  <c r="AH156" i="1"/>
  <c r="AG156" i="1"/>
  <c r="AF156" i="1"/>
  <c r="AE156" i="1"/>
  <c r="AD156" i="1"/>
  <c r="Z156" i="1"/>
  <c r="J156" i="1"/>
  <c r="I156" i="1"/>
  <c r="BJ147" i="1"/>
  <c r="BF147" i="1"/>
  <c r="BD147" i="1"/>
  <c r="AP147" i="1"/>
  <c r="AX147" i="1" s="1"/>
  <c r="AO147" i="1"/>
  <c r="AW147" i="1" s="1"/>
  <c r="AL147" i="1"/>
  <c r="AK147" i="1"/>
  <c r="AJ147" i="1"/>
  <c r="AH147" i="1"/>
  <c r="AG147" i="1"/>
  <c r="AF147" i="1"/>
  <c r="AE147" i="1"/>
  <c r="AD147" i="1"/>
  <c r="Z147" i="1"/>
  <c r="J147" i="1"/>
  <c r="H147" i="1"/>
  <c r="BJ146" i="1"/>
  <c r="BH146" i="1"/>
  <c r="AB146" i="1" s="1"/>
  <c r="BF146" i="1"/>
  <c r="BD146" i="1"/>
  <c r="AP146" i="1"/>
  <c r="AX146" i="1" s="1"/>
  <c r="AO146" i="1"/>
  <c r="AL146" i="1"/>
  <c r="AK146" i="1"/>
  <c r="AJ146" i="1"/>
  <c r="AH146" i="1"/>
  <c r="AG146" i="1"/>
  <c r="AF146" i="1"/>
  <c r="AE146" i="1"/>
  <c r="AD146" i="1"/>
  <c r="Z146" i="1"/>
  <c r="J146" i="1"/>
  <c r="I146" i="1"/>
  <c r="BJ140" i="1"/>
  <c r="BF140" i="1"/>
  <c r="BD140" i="1"/>
  <c r="AP140" i="1"/>
  <c r="AO140" i="1"/>
  <c r="AK140" i="1"/>
  <c r="AJ140" i="1"/>
  <c r="AH140" i="1"/>
  <c r="AG140" i="1"/>
  <c r="AF140" i="1"/>
  <c r="AE140" i="1"/>
  <c r="AD140" i="1"/>
  <c r="Z140" i="1"/>
  <c r="J140" i="1"/>
  <c r="AL140" i="1" s="1"/>
  <c r="BJ136" i="1"/>
  <c r="BF136" i="1"/>
  <c r="BD136" i="1"/>
  <c r="AW136" i="1"/>
  <c r="AP136" i="1"/>
  <c r="AO136" i="1"/>
  <c r="BH136" i="1" s="1"/>
  <c r="AB136" i="1" s="1"/>
  <c r="AK136" i="1"/>
  <c r="AJ136" i="1"/>
  <c r="AH136" i="1"/>
  <c r="AG136" i="1"/>
  <c r="AF136" i="1"/>
  <c r="AE136" i="1"/>
  <c r="AD136" i="1"/>
  <c r="Z136" i="1"/>
  <c r="J136" i="1"/>
  <c r="AL136" i="1" s="1"/>
  <c r="H136" i="1"/>
  <c r="BJ133" i="1"/>
  <c r="BF133" i="1"/>
  <c r="BD133" i="1"/>
  <c r="AX133" i="1"/>
  <c r="AW133" i="1"/>
  <c r="BC133" i="1" s="1"/>
  <c r="AV133" i="1"/>
  <c r="AP133" i="1"/>
  <c r="BI133" i="1" s="1"/>
  <c r="AC133" i="1" s="1"/>
  <c r="AO133" i="1"/>
  <c r="BH133" i="1" s="1"/>
  <c r="AB133" i="1" s="1"/>
  <c r="AK133" i="1"/>
  <c r="AJ133" i="1"/>
  <c r="AH133" i="1"/>
  <c r="AG133" i="1"/>
  <c r="AF133" i="1"/>
  <c r="AE133" i="1"/>
  <c r="AD133" i="1"/>
  <c r="Z133" i="1"/>
  <c r="J133" i="1"/>
  <c r="AL133" i="1" s="1"/>
  <c r="I133" i="1"/>
  <c r="H133" i="1"/>
  <c r="BJ131" i="1"/>
  <c r="BF131" i="1"/>
  <c r="BD131" i="1"/>
  <c r="AX131" i="1"/>
  <c r="AW131" i="1"/>
  <c r="AP131" i="1"/>
  <c r="BI131" i="1" s="1"/>
  <c r="AC131" i="1" s="1"/>
  <c r="AO131" i="1"/>
  <c r="H131" i="1" s="1"/>
  <c r="AK131" i="1"/>
  <c r="AJ131" i="1"/>
  <c r="AH131" i="1"/>
  <c r="AG131" i="1"/>
  <c r="AF131" i="1"/>
  <c r="AE131" i="1"/>
  <c r="AD131" i="1"/>
  <c r="Z131" i="1"/>
  <c r="J131" i="1"/>
  <c r="AL131" i="1" s="1"/>
  <c r="I131" i="1"/>
  <c r="BJ129" i="1"/>
  <c r="BF129" i="1"/>
  <c r="BD129" i="1"/>
  <c r="AX129" i="1"/>
  <c r="AP129" i="1"/>
  <c r="I129" i="1" s="1"/>
  <c r="AO129" i="1"/>
  <c r="AW129" i="1" s="1"/>
  <c r="AV129" i="1" s="1"/>
  <c r="AK129" i="1"/>
  <c r="AJ129" i="1"/>
  <c r="AH129" i="1"/>
  <c r="AG129" i="1"/>
  <c r="AF129" i="1"/>
  <c r="AE129" i="1"/>
  <c r="AD129" i="1"/>
  <c r="Z129" i="1"/>
  <c r="J129" i="1"/>
  <c r="AL129" i="1" s="1"/>
  <c r="H129" i="1"/>
  <c r="BJ128" i="1"/>
  <c r="BF128" i="1"/>
  <c r="BD128" i="1"/>
  <c r="AP128" i="1"/>
  <c r="AX128" i="1" s="1"/>
  <c r="AO128" i="1"/>
  <c r="AW128" i="1" s="1"/>
  <c r="AV128" i="1" s="1"/>
  <c r="AL128" i="1"/>
  <c r="AK128" i="1"/>
  <c r="AJ128" i="1"/>
  <c r="AH128" i="1"/>
  <c r="AG128" i="1"/>
  <c r="AF128" i="1"/>
  <c r="AE128" i="1"/>
  <c r="AD128" i="1"/>
  <c r="Z128" i="1"/>
  <c r="J128" i="1"/>
  <c r="I128" i="1"/>
  <c r="BJ127" i="1"/>
  <c r="BF127" i="1"/>
  <c r="BD127" i="1"/>
  <c r="AP127" i="1"/>
  <c r="AX127" i="1" s="1"/>
  <c r="AO127" i="1"/>
  <c r="AW127" i="1" s="1"/>
  <c r="AL127" i="1"/>
  <c r="AK127" i="1"/>
  <c r="AJ127" i="1"/>
  <c r="AH127" i="1"/>
  <c r="AG127" i="1"/>
  <c r="AF127" i="1"/>
  <c r="AE127" i="1"/>
  <c r="AD127" i="1"/>
  <c r="Z127" i="1"/>
  <c r="J127" i="1"/>
  <c r="H127" i="1"/>
  <c r="BJ125" i="1"/>
  <c r="BF125" i="1"/>
  <c r="BD125" i="1"/>
  <c r="AP125" i="1"/>
  <c r="AX125" i="1" s="1"/>
  <c r="AO125" i="1"/>
  <c r="AL125" i="1"/>
  <c r="AK125" i="1"/>
  <c r="AJ125" i="1"/>
  <c r="AH125" i="1"/>
  <c r="AG125" i="1"/>
  <c r="AF125" i="1"/>
  <c r="AE125" i="1"/>
  <c r="AD125" i="1"/>
  <c r="Z125" i="1"/>
  <c r="J125" i="1"/>
  <c r="I125" i="1"/>
  <c r="BJ122" i="1"/>
  <c r="BI122" i="1"/>
  <c r="AC122" i="1" s="1"/>
  <c r="BH122" i="1"/>
  <c r="AB122" i="1" s="1"/>
  <c r="BF122" i="1"/>
  <c r="BD122" i="1"/>
  <c r="AP122" i="1"/>
  <c r="AO122" i="1"/>
  <c r="AK122" i="1"/>
  <c r="AJ122" i="1"/>
  <c r="AH122" i="1"/>
  <c r="AG122" i="1"/>
  <c r="AF122" i="1"/>
  <c r="AE122" i="1"/>
  <c r="AD122" i="1"/>
  <c r="Z122" i="1"/>
  <c r="J122" i="1"/>
  <c r="AL122" i="1" s="1"/>
  <c r="BJ119" i="1"/>
  <c r="BI119" i="1"/>
  <c r="AC119" i="1" s="1"/>
  <c r="BF119" i="1"/>
  <c r="BD119" i="1"/>
  <c r="AW119" i="1"/>
  <c r="AP119" i="1"/>
  <c r="AO119" i="1"/>
  <c r="BH119" i="1" s="1"/>
  <c r="AB119" i="1" s="1"/>
  <c r="AK119" i="1"/>
  <c r="AJ119" i="1"/>
  <c r="AH119" i="1"/>
  <c r="AG119" i="1"/>
  <c r="AF119" i="1"/>
  <c r="AE119" i="1"/>
  <c r="AD119" i="1"/>
  <c r="Z119" i="1"/>
  <c r="J119" i="1"/>
  <c r="AL119" i="1" s="1"/>
  <c r="H119" i="1"/>
  <c r="BJ118" i="1"/>
  <c r="BF118" i="1"/>
  <c r="BD118" i="1"/>
  <c r="AX118" i="1"/>
  <c r="AW118" i="1"/>
  <c r="BC118" i="1" s="1"/>
  <c r="AV118" i="1"/>
  <c r="AP118" i="1"/>
  <c r="BI118" i="1" s="1"/>
  <c r="AC118" i="1" s="1"/>
  <c r="AO118" i="1"/>
  <c r="BH118" i="1" s="1"/>
  <c r="AB118" i="1" s="1"/>
  <c r="AK118" i="1"/>
  <c r="AJ118" i="1"/>
  <c r="AH118" i="1"/>
  <c r="AG118" i="1"/>
  <c r="AF118" i="1"/>
  <c r="AE118" i="1"/>
  <c r="AD118" i="1"/>
  <c r="Z118" i="1"/>
  <c r="J118" i="1"/>
  <c r="AL118" i="1" s="1"/>
  <c r="I118" i="1"/>
  <c r="H118" i="1"/>
  <c r="BJ117" i="1"/>
  <c r="BF117" i="1"/>
  <c r="BD117" i="1"/>
  <c r="AX117" i="1"/>
  <c r="AW117" i="1"/>
  <c r="AP117" i="1"/>
  <c r="BI117" i="1" s="1"/>
  <c r="AC117" i="1" s="1"/>
  <c r="AO117" i="1"/>
  <c r="H117" i="1" s="1"/>
  <c r="AK117" i="1"/>
  <c r="AJ117" i="1"/>
  <c r="AH117" i="1"/>
  <c r="AG117" i="1"/>
  <c r="AF117" i="1"/>
  <c r="AE117" i="1"/>
  <c r="AD117" i="1"/>
  <c r="Z117" i="1"/>
  <c r="J117" i="1"/>
  <c r="AL117" i="1" s="1"/>
  <c r="I117" i="1"/>
  <c r="BJ116" i="1"/>
  <c r="BF116" i="1"/>
  <c r="BD116" i="1"/>
  <c r="AX116" i="1"/>
  <c r="BC116" i="1" s="1"/>
  <c r="AP116" i="1"/>
  <c r="I116" i="1" s="1"/>
  <c r="AO116" i="1"/>
  <c r="AW116" i="1" s="1"/>
  <c r="AK116" i="1"/>
  <c r="AJ116" i="1"/>
  <c r="AH116" i="1"/>
  <c r="AG116" i="1"/>
  <c r="AF116" i="1"/>
  <c r="AE116" i="1"/>
  <c r="AD116" i="1"/>
  <c r="Z116" i="1"/>
  <c r="J116" i="1"/>
  <c r="AL116" i="1" s="1"/>
  <c r="H116" i="1"/>
  <c r="BJ115" i="1"/>
  <c r="BF115" i="1"/>
  <c r="BD115" i="1"/>
  <c r="AP115" i="1"/>
  <c r="AX115" i="1" s="1"/>
  <c r="BC115" i="1" s="1"/>
  <c r="AO115" i="1"/>
  <c r="AW115" i="1" s="1"/>
  <c r="AL115" i="1"/>
  <c r="AK115" i="1"/>
  <c r="AJ115" i="1"/>
  <c r="AH115" i="1"/>
  <c r="AG115" i="1"/>
  <c r="AF115" i="1"/>
  <c r="AE115" i="1"/>
  <c r="AD115" i="1"/>
  <c r="Z115" i="1"/>
  <c r="J115" i="1"/>
  <c r="I115" i="1"/>
  <c r="BJ114" i="1"/>
  <c r="BF114" i="1"/>
  <c r="BD114" i="1"/>
  <c r="AP114" i="1"/>
  <c r="AX114" i="1" s="1"/>
  <c r="AO114" i="1"/>
  <c r="AW114" i="1" s="1"/>
  <c r="AL114" i="1"/>
  <c r="AK114" i="1"/>
  <c r="AJ114" i="1"/>
  <c r="AH114" i="1"/>
  <c r="AG114" i="1"/>
  <c r="AF114" i="1"/>
  <c r="AE114" i="1"/>
  <c r="AD114" i="1"/>
  <c r="Z114" i="1"/>
  <c r="J114" i="1"/>
  <c r="H114" i="1"/>
  <c r="BJ113" i="1"/>
  <c r="BF113" i="1"/>
  <c r="BD113" i="1"/>
  <c r="AP113" i="1"/>
  <c r="AX113" i="1" s="1"/>
  <c r="AO113" i="1"/>
  <c r="AL113" i="1"/>
  <c r="AK113" i="1"/>
  <c r="AJ113" i="1"/>
  <c r="AH113" i="1"/>
  <c r="AG113" i="1"/>
  <c r="AF113" i="1"/>
  <c r="AE113" i="1"/>
  <c r="AD113" i="1"/>
  <c r="Z113" i="1"/>
  <c r="J113" i="1"/>
  <c r="I113" i="1"/>
  <c r="BJ112" i="1"/>
  <c r="BF112" i="1"/>
  <c r="BD112" i="1"/>
  <c r="AP112" i="1"/>
  <c r="AX112" i="1" s="1"/>
  <c r="AO112" i="1"/>
  <c r="BH112" i="1" s="1"/>
  <c r="AB112" i="1" s="1"/>
  <c r="AK112" i="1"/>
  <c r="AJ112" i="1"/>
  <c r="AH112" i="1"/>
  <c r="AG112" i="1"/>
  <c r="AF112" i="1"/>
  <c r="AE112" i="1"/>
  <c r="AD112" i="1"/>
  <c r="Z112" i="1"/>
  <c r="J112" i="1"/>
  <c r="AL112" i="1" s="1"/>
  <c r="BJ111" i="1"/>
  <c r="BI111" i="1"/>
  <c r="AC111" i="1" s="1"/>
  <c r="BF111" i="1"/>
  <c r="BD111" i="1"/>
  <c r="AX111" i="1"/>
  <c r="BC111" i="1" s="1"/>
  <c r="AW111" i="1"/>
  <c r="AP111" i="1"/>
  <c r="I111" i="1" s="1"/>
  <c r="AO111" i="1"/>
  <c r="BH111" i="1" s="1"/>
  <c r="AB111" i="1" s="1"/>
  <c r="AK111" i="1"/>
  <c r="AJ111" i="1"/>
  <c r="AH111" i="1"/>
  <c r="AG111" i="1"/>
  <c r="AF111" i="1"/>
  <c r="AE111" i="1"/>
  <c r="AD111" i="1"/>
  <c r="Z111" i="1"/>
  <c r="J111" i="1"/>
  <c r="AL111" i="1" s="1"/>
  <c r="H111" i="1"/>
  <c r="BJ110" i="1"/>
  <c r="BF110" i="1"/>
  <c r="BD110" i="1"/>
  <c r="BC110" i="1"/>
  <c r="AX110" i="1"/>
  <c r="AW110" i="1"/>
  <c r="AV110" i="1"/>
  <c r="AP110" i="1"/>
  <c r="BI110" i="1" s="1"/>
  <c r="AC110" i="1" s="1"/>
  <c r="AO110" i="1"/>
  <c r="BH110" i="1" s="1"/>
  <c r="AB110" i="1" s="1"/>
  <c r="AK110" i="1"/>
  <c r="AJ110" i="1"/>
  <c r="AH110" i="1"/>
  <c r="AG110" i="1"/>
  <c r="AF110" i="1"/>
  <c r="AE110" i="1"/>
  <c r="AD110" i="1"/>
  <c r="Z110" i="1"/>
  <c r="J110" i="1"/>
  <c r="AL110" i="1" s="1"/>
  <c r="I110" i="1"/>
  <c r="H110" i="1"/>
  <c r="BJ109" i="1"/>
  <c r="BF109" i="1"/>
  <c r="BD109" i="1"/>
  <c r="AX109" i="1"/>
  <c r="AW109" i="1"/>
  <c r="AP109" i="1"/>
  <c r="BI109" i="1" s="1"/>
  <c r="AC109" i="1" s="1"/>
  <c r="AO109" i="1"/>
  <c r="H109" i="1" s="1"/>
  <c r="AK109" i="1"/>
  <c r="AJ109" i="1"/>
  <c r="AH109" i="1"/>
  <c r="AG109" i="1"/>
  <c r="AF109" i="1"/>
  <c r="AE109" i="1"/>
  <c r="AD109" i="1"/>
  <c r="Z109" i="1"/>
  <c r="J109" i="1"/>
  <c r="AL109" i="1" s="1"/>
  <c r="I109" i="1"/>
  <c r="BJ108" i="1"/>
  <c r="BF108" i="1"/>
  <c r="BD108" i="1"/>
  <c r="AX108" i="1"/>
  <c r="BC108" i="1" s="1"/>
  <c r="AP108" i="1"/>
  <c r="I108" i="1" s="1"/>
  <c r="AO108" i="1"/>
  <c r="AW108" i="1" s="1"/>
  <c r="AK108" i="1"/>
  <c r="AJ108" i="1"/>
  <c r="AH108" i="1"/>
  <c r="AG108" i="1"/>
  <c r="AF108" i="1"/>
  <c r="AE108" i="1"/>
  <c r="AD108" i="1"/>
  <c r="Z108" i="1"/>
  <c r="J108" i="1"/>
  <c r="AL108" i="1" s="1"/>
  <c r="BJ106" i="1"/>
  <c r="BH106" i="1"/>
  <c r="BF106" i="1"/>
  <c r="BD106" i="1"/>
  <c r="AP106" i="1"/>
  <c r="AX106" i="1" s="1"/>
  <c r="AO106" i="1"/>
  <c r="AL106" i="1"/>
  <c r="AK106" i="1"/>
  <c r="AJ106" i="1"/>
  <c r="AH106" i="1"/>
  <c r="AG106" i="1"/>
  <c r="AF106" i="1"/>
  <c r="AE106" i="1"/>
  <c r="AD106" i="1"/>
  <c r="AB106" i="1"/>
  <c r="Z106" i="1"/>
  <c r="J106" i="1"/>
  <c r="BJ103" i="1"/>
  <c r="BF103" i="1"/>
  <c r="BD103" i="1"/>
  <c r="AP103" i="1"/>
  <c r="AO103" i="1"/>
  <c r="AW103" i="1" s="1"/>
  <c r="AL103" i="1"/>
  <c r="AK103" i="1"/>
  <c r="AJ103" i="1"/>
  <c r="AH103" i="1"/>
  <c r="AG103" i="1"/>
  <c r="AF103" i="1"/>
  <c r="AE103" i="1"/>
  <c r="AD103" i="1"/>
  <c r="Z103" i="1"/>
  <c r="J103" i="1"/>
  <c r="H103" i="1"/>
  <c r="BJ102" i="1"/>
  <c r="BH102" i="1"/>
  <c r="AB102" i="1" s="1"/>
  <c r="BF102" i="1"/>
  <c r="BD102" i="1"/>
  <c r="AP102" i="1"/>
  <c r="AX102" i="1" s="1"/>
  <c r="AV102" i="1" s="1"/>
  <c r="AO102" i="1"/>
  <c r="AW102" i="1" s="1"/>
  <c r="AL102" i="1"/>
  <c r="AK102" i="1"/>
  <c r="AJ102" i="1"/>
  <c r="AH102" i="1"/>
  <c r="AG102" i="1"/>
  <c r="AF102" i="1"/>
  <c r="AE102" i="1"/>
  <c r="AD102" i="1"/>
  <c r="Z102" i="1"/>
  <c r="J102" i="1"/>
  <c r="I102" i="1"/>
  <c r="H102" i="1"/>
  <c r="BJ99" i="1"/>
  <c r="BF99" i="1"/>
  <c r="BD99" i="1"/>
  <c r="AP99" i="1"/>
  <c r="AO99" i="1"/>
  <c r="AW99" i="1" s="1"/>
  <c r="AL99" i="1"/>
  <c r="AU98" i="1" s="1"/>
  <c r="AK99" i="1"/>
  <c r="AT98" i="1" s="1"/>
  <c r="AJ99" i="1"/>
  <c r="AH99" i="1"/>
  <c r="AG99" i="1"/>
  <c r="AF99" i="1"/>
  <c r="AE99" i="1"/>
  <c r="AD99" i="1"/>
  <c r="Z99" i="1"/>
  <c r="J99" i="1"/>
  <c r="H99" i="1"/>
  <c r="H98" i="1" s="1"/>
  <c r="AS98" i="1"/>
  <c r="J98" i="1"/>
  <c r="BJ95" i="1"/>
  <c r="BF95" i="1"/>
  <c r="BD95" i="1"/>
  <c r="AW95" i="1"/>
  <c r="AP95" i="1"/>
  <c r="AX95" i="1" s="1"/>
  <c r="AO95" i="1"/>
  <c r="H95" i="1" s="1"/>
  <c r="AK95" i="1"/>
  <c r="AJ95" i="1"/>
  <c r="AH95" i="1"/>
  <c r="AG95" i="1"/>
  <c r="AF95" i="1"/>
  <c r="AE95" i="1"/>
  <c r="AD95" i="1"/>
  <c r="Z95" i="1"/>
  <c r="J95" i="1"/>
  <c r="AL95" i="1" s="1"/>
  <c r="BJ93" i="1"/>
  <c r="BF93" i="1"/>
  <c r="BD93" i="1"/>
  <c r="AP93" i="1"/>
  <c r="I93" i="1" s="1"/>
  <c r="AO93" i="1"/>
  <c r="BH93" i="1" s="1"/>
  <c r="AB93" i="1" s="1"/>
  <c r="AK93" i="1"/>
  <c r="AJ93" i="1"/>
  <c r="AH93" i="1"/>
  <c r="AG93" i="1"/>
  <c r="AF93" i="1"/>
  <c r="AE93" i="1"/>
  <c r="AD93" i="1"/>
  <c r="Z93" i="1"/>
  <c r="J93" i="1"/>
  <c r="AL93" i="1" s="1"/>
  <c r="H93" i="1"/>
  <c r="BJ92" i="1"/>
  <c r="BF92" i="1"/>
  <c r="BD92" i="1"/>
  <c r="AW92" i="1"/>
  <c r="AP92" i="1"/>
  <c r="BI92" i="1" s="1"/>
  <c r="AC92" i="1" s="1"/>
  <c r="AO92" i="1"/>
  <c r="BH92" i="1" s="1"/>
  <c r="AB92" i="1" s="1"/>
  <c r="AK92" i="1"/>
  <c r="AJ92" i="1"/>
  <c r="AH92" i="1"/>
  <c r="AG92" i="1"/>
  <c r="AF92" i="1"/>
  <c r="AE92" i="1"/>
  <c r="AD92" i="1"/>
  <c r="Z92" i="1"/>
  <c r="J92" i="1"/>
  <c r="AL92" i="1" s="1"/>
  <c r="I92" i="1"/>
  <c r="H92" i="1"/>
  <c r="BJ91" i="1"/>
  <c r="BF91" i="1"/>
  <c r="BD91" i="1"/>
  <c r="AX91" i="1"/>
  <c r="AW91" i="1"/>
  <c r="AP91" i="1"/>
  <c r="BI91" i="1" s="1"/>
  <c r="AC91" i="1" s="1"/>
  <c r="AO91" i="1"/>
  <c r="BH91" i="1" s="1"/>
  <c r="AK91" i="1"/>
  <c r="AJ91" i="1"/>
  <c r="AH91" i="1"/>
  <c r="AG91" i="1"/>
  <c r="AF91" i="1"/>
  <c r="AE91" i="1"/>
  <c r="AD91" i="1"/>
  <c r="AB91" i="1"/>
  <c r="Z91" i="1"/>
  <c r="J91" i="1"/>
  <c r="AL91" i="1" s="1"/>
  <c r="I91" i="1"/>
  <c r="H91" i="1"/>
  <c r="BJ90" i="1"/>
  <c r="BF90" i="1"/>
  <c r="BD90" i="1"/>
  <c r="AX90" i="1"/>
  <c r="AP90" i="1"/>
  <c r="BI90" i="1" s="1"/>
  <c r="AC90" i="1" s="1"/>
  <c r="AO90" i="1"/>
  <c r="AW90" i="1" s="1"/>
  <c r="AV90" i="1" s="1"/>
  <c r="AK90" i="1"/>
  <c r="AJ90" i="1"/>
  <c r="AH90" i="1"/>
  <c r="AG90" i="1"/>
  <c r="AF90" i="1"/>
  <c r="AE90" i="1"/>
  <c r="AD90" i="1"/>
  <c r="Z90" i="1"/>
  <c r="J90" i="1"/>
  <c r="AL90" i="1" s="1"/>
  <c r="I90" i="1"/>
  <c r="H90" i="1"/>
  <c r="BJ89" i="1"/>
  <c r="BH89" i="1"/>
  <c r="AB89" i="1" s="1"/>
  <c r="BF89" i="1"/>
  <c r="BD89" i="1"/>
  <c r="AP89" i="1"/>
  <c r="AX89" i="1" s="1"/>
  <c r="AO89" i="1"/>
  <c r="AK89" i="1"/>
  <c r="AT88" i="1" s="1"/>
  <c r="AJ89" i="1"/>
  <c r="AH89" i="1"/>
  <c r="AG89" i="1"/>
  <c r="AF89" i="1"/>
  <c r="AE89" i="1"/>
  <c r="AD89" i="1"/>
  <c r="Z89" i="1"/>
  <c r="J89" i="1"/>
  <c r="AL89" i="1" s="1"/>
  <c r="J88" i="1"/>
  <c r="J82" i="1" s="1"/>
  <c r="BJ86" i="1"/>
  <c r="BF86" i="1"/>
  <c r="BD86" i="1"/>
  <c r="AX86" i="1"/>
  <c r="AP86" i="1"/>
  <c r="BI86" i="1" s="1"/>
  <c r="AC86" i="1" s="1"/>
  <c r="AO86" i="1"/>
  <c r="AL86" i="1"/>
  <c r="AK86" i="1"/>
  <c r="AJ86" i="1"/>
  <c r="AH86" i="1"/>
  <c r="AG86" i="1"/>
  <c r="AF86" i="1"/>
  <c r="AE86" i="1"/>
  <c r="AD86" i="1"/>
  <c r="Z86" i="1"/>
  <c r="J86" i="1"/>
  <c r="I86" i="1"/>
  <c r="BJ84" i="1"/>
  <c r="BH84" i="1"/>
  <c r="AB84" i="1" s="1"/>
  <c r="BF84" i="1"/>
  <c r="BD84" i="1"/>
  <c r="AP84" i="1"/>
  <c r="AX84" i="1" s="1"/>
  <c r="AO84" i="1"/>
  <c r="H84" i="1" s="1"/>
  <c r="AK84" i="1"/>
  <c r="AT83" i="1" s="1"/>
  <c r="AJ84" i="1"/>
  <c r="AS83" i="1" s="1"/>
  <c r="AH84" i="1"/>
  <c r="AG84" i="1"/>
  <c r="AF84" i="1"/>
  <c r="AE84" i="1"/>
  <c r="AD84" i="1"/>
  <c r="Z84" i="1"/>
  <c r="J84" i="1"/>
  <c r="AL84" i="1" s="1"/>
  <c r="AU83" i="1" s="1"/>
  <c r="J83" i="1"/>
  <c r="BJ80" i="1"/>
  <c r="BF80" i="1"/>
  <c r="BD80" i="1"/>
  <c r="BC80" i="1"/>
  <c r="AX80" i="1"/>
  <c r="AW80" i="1"/>
  <c r="AV80" i="1"/>
  <c r="AP80" i="1"/>
  <c r="BI80" i="1" s="1"/>
  <c r="AC80" i="1" s="1"/>
  <c r="AO80" i="1"/>
  <c r="BH80" i="1" s="1"/>
  <c r="AB80" i="1" s="1"/>
  <c r="AK80" i="1"/>
  <c r="AJ80" i="1"/>
  <c r="AH80" i="1"/>
  <c r="AG80" i="1"/>
  <c r="AF80" i="1"/>
  <c r="AE80" i="1"/>
  <c r="AD80" i="1"/>
  <c r="Z80" i="1"/>
  <c r="J80" i="1"/>
  <c r="AL80" i="1" s="1"/>
  <c r="I80" i="1"/>
  <c r="H80" i="1"/>
  <c r="BJ78" i="1"/>
  <c r="BF78" i="1"/>
  <c r="BD78" i="1"/>
  <c r="AX78" i="1"/>
  <c r="AW78" i="1"/>
  <c r="AV78" i="1" s="1"/>
  <c r="AP78" i="1"/>
  <c r="BI78" i="1" s="1"/>
  <c r="AC78" i="1" s="1"/>
  <c r="AO78" i="1"/>
  <c r="BH78" i="1" s="1"/>
  <c r="AB78" i="1" s="1"/>
  <c r="AK78" i="1"/>
  <c r="AJ78" i="1"/>
  <c r="AH78" i="1"/>
  <c r="AG78" i="1"/>
  <c r="AF78" i="1"/>
  <c r="AE78" i="1"/>
  <c r="AD78" i="1"/>
  <c r="Z78" i="1"/>
  <c r="J78" i="1"/>
  <c r="AL78" i="1" s="1"/>
  <c r="I78" i="1"/>
  <c r="H78" i="1"/>
  <c r="BJ76" i="1"/>
  <c r="BF76" i="1"/>
  <c r="BD76" i="1"/>
  <c r="AX76" i="1"/>
  <c r="AP76" i="1"/>
  <c r="BI76" i="1" s="1"/>
  <c r="AC76" i="1" s="1"/>
  <c r="AO76" i="1"/>
  <c r="AW76" i="1" s="1"/>
  <c r="AK76" i="1"/>
  <c r="AJ76" i="1"/>
  <c r="AH76" i="1"/>
  <c r="AG76" i="1"/>
  <c r="AF76" i="1"/>
  <c r="AE76" i="1"/>
  <c r="AD76" i="1"/>
  <c r="Z76" i="1"/>
  <c r="J76" i="1"/>
  <c r="AL76" i="1" s="1"/>
  <c r="I76" i="1"/>
  <c r="BJ74" i="1"/>
  <c r="BF74" i="1"/>
  <c r="BD74" i="1"/>
  <c r="AP74" i="1"/>
  <c r="AX74" i="1" s="1"/>
  <c r="AO74" i="1"/>
  <c r="AW74" i="1" s="1"/>
  <c r="AL74" i="1"/>
  <c r="AK74" i="1"/>
  <c r="AJ74" i="1"/>
  <c r="AS71" i="1" s="1"/>
  <c r="AH74" i="1"/>
  <c r="AG74" i="1"/>
  <c r="AF74" i="1"/>
  <c r="AE74" i="1"/>
  <c r="AD74" i="1"/>
  <c r="Z74" i="1"/>
  <c r="J74" i="1"/>
  <c r="BJ72" i="1"/>
  <c r="BF72" i="1"/>
  <c r="BD72" i="1"/>
  <c r="AP72" i="1"/>
  <c r="AX72" i="1" s="1"/>
  <c r="AO72" i="1"/>
  <c r="AW72" i="1" s="1"/>
  <c r="AL72" i="1"/>
  <c r="AK72" i="1"/>
  <c r="AT71" i="1" s="1"/>
  <c r="AJ72" i="1"/>
  <c r="AH72" i="1"/>
  <c r="AG72" i="1"/>
  <c r="AF72" i="1"/>
  <c r="AE72" i="1"/>
  <c r="AD72" i="1"/>
  <c r="Z72" i="1"/>
  <c r="J72" i="1"/>
  <c r="J71" i="1"/>
  <c r="BJ70" i="1"/>
  <c r="BF70" i="1"/>
  <c r="BD70" i="1"/>
  <c r="AP70" i="1"/>
  <c r="AX70" i="1" s="1"/>
  <c r="AO70" i="1"/>
  <c r="AW70" i="1" s="1"/>
  <c r="AL70" i="1"/>
  <c r="AK70" i="1"/>
  <c r="AJ70" i="1"/>
  <c r="AH70" i="1"/>
  <c r="AG70" i="1"/>
  <c r="AF70" i="1"/>
  <c r="AE70" i="1"/>
  <c r="AD70" i="1"/>
  <c r="Z70" i="1"/>
  <c r="J70" i="1"/>
  <c r="BJ69" i="1"/>
  <c r="BF69" i="1"/>
  <c r="BD69" i="1"/>
  <c r="AP69" i="1"/>
  <c r="AX69" i="1" s="1"/>
  <c r="AO69" i="1"/>
  <c r="AW69" i="1" s="1"/>
  <c r="AL69" i="1"/>
  <c r="AK69" i="1"/>
  <c r="AJ69" i="1"/>
  <c r="AH69" i="1"/>
  <c r="AG69" i="1"/>
  <c r="AF69" i="1"/>
  <c r="AE69" i="1"/>
  <c r="AD69" i="1"/>
  <c r="Z69" i="1"/>
  <c r="J69" i="1"/>
  <c r="BJ68" i="1"/>
  <c r="BF68" i="1"/>
  <c r="BD68" i="1"/>
  <c r="AP68" i="1"/>
  <c r="AX68" i="1" s="1"/>
  <c r="AO68" i="1"/>
  <c r="AW68" i="1" s="1"/>
  <c r="AL68" i="1"/>
  <c r="AK68" i="1"/>
  <c r="AJ68" i="1"/>
  <c r="AH68" i="1"/>
  <c r="AG68" i="1"/>
  <c r="AF68" i="1"/>
  <c r="AE68" i="1"/>
  <c r="AD68" i="1"/>
  <c r="Z68" i="1"/>
  <c r="J68" i="1"/>
  <c r="H68" i="1"/>
  <c r="BJ67" i="1"/>
  <c r="BF67" i="1"/>
  <c r="BD67" i="1"/>
  <c r="AP67" i="1"/>
  <c r="AX67" i="1" s="1"/>
  <c r="AO67" i="1"/>
  <c r="AW67" i="1" s="1"/>
  <c r="AK67" i="1"/>
  <c r="AJ67" i="1"/>
  <c r="AH67" i="1"/>
  <c r="AG67" i="1"/>
  <c r="AF67" i="1"/>
  <c r="AE67" i="1"/>
  <c r="AD67" i="1"/>
  <c r="Z67" i="1"/>
  <c r="J67" i="1"/>
  <c r="AL67" i="1" s="1"/>
  <c r="I67" i="1"/>
  <c r="BJ66" i="1"/>
  <c r="BF66" i="1"/>
  <c r="BD66" i="1"/>
  <c r="AW66" i="1"/>
  <c r="AP66" i="1"/>
  <c r="AX66" i="1" s="1"/>
  <c r="AV66" i="1" s="1"/>
  <c r="AO66" i="1"/>
  <c r="BH66" i="1" s="1"/>
  <c r="AB66" i="1" s="1"/>
  <c r="AK66" i="1"/>
  <c r="AJ66" i="1"/>
  <c r="AH66" i="1"/>
  <c r="AG66" i="1"/>
  <c r="AF66" i="1"/>
  <c r="AE66" i="1"/>
  <c r="AD66" i="1"/>
  <c r="Z66" i="1"/>
  <c r="J66" i="1"/>
  <c r="AL66" i="1" s="1"/>
  <c r="H66" i="1"/>
  <c r="BJ64" i="1"/>
  <c r="BF64" i="1"/>
  <c r="BD64" i="1"/>
  <c r="BC64" i="1"/>
  <c r="AX64" i="1"/>
  <c r="AW64" i="1"/>
  <c r="AV64" i="1"/>
  <c r="AP64" i="1"/>
  <c r="BI64" i="1" s="1"/>
  <c r="AC64" i="1" s="1"/>
  <c r="AO64" i="1"/>
  <c r="BH64" i="1" s="1"/>
  <c r="AB64" i="1" s="1"/>
  <c r="AK64" i="1"/>
  <c r="AT63" i="1" s="1"/>
  <c r="AJ64" i="1"/>
  <c r="AS63" i="1" s="1"/>
  <c r="AH64" i="1"/>
  <c r="AG64" i="1"/>
  <c r="AF64" i="1"/>
  <c r="AE64" i="1"/>
  <c r="AD64" i="1"/>
  <c r="Z64" i="1"/>
  <c r="J64" i="1"/>
  <c r="AL64" i="1" s="1"/>
  <c r="I64" i="1"/>
  <c r="H64" i="1"/>
  <c r="BJ61" i="1"/>
  <c r="BI61" i="1"/>
  <c r="AC61" i="1" s="1"/>
  <c r="BF61" i="1"/>
  <c r="BD61" i="1"/>
  <c r="AW61" i="1"/>
  <c r="BC61" i="1" s="1"/>
  <c r="AP61" i="1"/>
  <c r="AX61" i="1" s="1"/>
  <c r="AV61" i="1" s="1"/>
  <c r="AO61" i="1"/>
  <c r="BH61" i="1" s="1"/>
  <c r="AB61" i="1" s="1"/>
  <c r="AK61" i="1"/>
  <c r="AJ61" i="1"/>
  <c r="AS60" i="1" s="1"/>
  <c r="AH61" i="1"/>
  <c r="AG61" i="1"/>
  <c r="AF61" i="1"/>
  <c r="AE61" i="1"/>
  <c r="AD61" i="1"/>
  <c r="Z61" i="1"/>
  <c r="J61" i="1"/>
  <c r="AL61" i="1" s="1"/>
  <c r="AU60" i="1" s="1"/>
  <c r="H61" i="1"/>
  <c r="AT60" i="1"/>
  <c r="H60" i="1"/>
  <c r="BJ58" i="1"/>
  <c r="BF58" i="1"/>
  <c r="BD58" i="1"/>
  <c r="AX58" i="1"/>
  <c r="AW58" i="1"/>
  <c r="AV58" i="1" s="1"/>
  <c r="AP58" i="1"/>
  <c r="BI58" i="1" s="1"/>
  <c r="AC58" i="1" s="1"/>
  <c r="AO58" i="1"/>
  <c r="BH58" i="1" s="1"/>
  <c r="AB58" i="1" s="1"/>
  <c r="AK58" i="1"/>
  <c r="AJ58" i="1"/>
  <c r="AH58" i="1"/>
  <c r="AG58" i="1"/>
  <c r="AF58" i="1"/>
  <c r="AE58" i="1"/>
  <c r="AD58" i="1"/>
  <c r="Z58" i="1"/>
  <c r="J58" i="1"/>
  <c r="AL58" i="1" s="1"/>
  <c r="I58" i="1"/>
  <c r="H58" i="1"/>
  <c r="BJ55" i="1"/>
  <c r="BF55" i="1"/>
  <c r="BD55" i="1"/>
  <c r="AX55" i="1"/>
  <c r="AP55" i="1"/>
  <c r="BI55" i="1" s="1"/>
  <c r="AC55" i="1" s="1"/>
  <c r="AO55" i="1"/>
  <c r="AW55" i="1" s="1"/>
  <c r="AK55" i="1"/>
  <c r="AJ55" i="1"/>
  <c r="AH55" i="1"/>
  <c r="AG55" i="1"/>
  <c r="AF55" i="1"/>
  <c r="AE55" i="1"/>
  <c r="AD55" i="1"/>
  <c r="Z55" i="1"/>
  <c r="J55" i="1"/>
  <c r="AL55" i="1" s="1"/>
  <c r="I55" i="1"/>
  <c r="BJ52" i="1"/>
  <c r="BF52" i="1"/>
  <c r="BD52" i="1"/>
  <c r="AP52" i="1"/>
  <c r="AX52" i="1" s="1"/>
  <c r="AO52" i="1"/>
  <c r="AW52" i="1" s="1"/>
  <c r="AL52" i="1"/>
  <c r="AK52" i="1"/>
  <c r="AJ52" i="1"/>
  <c r="AS51" i="1" s="1"/>
  <c r="AH52" i="1"/>
  <c r="AG52" i="1"/>
  <c r="AF52" i="1"/>
  <c r="AE52" i="1"/>
  <c r="AD52" i="1"/>
  <c r="Z52" i="1"/>
  <c r="J52" i="1"/>
  <c r="AT51" i="1"/>
  <c r="BJ49" i="1"/>
  <c r="BF49" i="1"/>
  <c r="BD49" i="1"/>
  <c r="AX49" i="1"/>
  <c r="AP49" i="1"/>
  <c r="BI49" i="1" s="1"/>
  <c r="AC49" i="1" s="1"/>
  <c r="AO49" i="1"/>
  <c r="AW49" i="1" s="1"/>
  <c r="AK49" i="1"/>
  <c r="AJ49" i="1"/>
  <c r="AH49" i="1"/>
  <c r="AG49" i="1"/>
  <c r="AF49" i="1"/>
  <c r="AE49" i="1"/>
  <c r="AD49" i="1"/>
  <c r="Z49" i="1"/>
  <c r="J49" i="1"/>
  <c r="AL49" i="1" s="1"/>
  <c r="AU45" i="1" s="1"/>
  <c r="I49" i="1"/>
  <c r="BJ48" i="1"/>
  <c r="BF48" i="1"/>
  <c r="BD48" i="1"/>
  <c r="AP48" i="1"/>
  <c r="AX48" i="1" s="1"/>
  <c r="AO48" i="1"/>
  <c r="BH48" i="1" s="1"/>
  <c r="AB48" i="1" s="1"/>
  <c r="AL48" i="1"/>
  <c r="AK48" i="1"/>
  <c r="AJ48" i="1"/>
  <c r="AS45" i="1" s="1"/>
  <c r="AH48" i="1"/>
  <c r="AG48" i="1"/>
  <c r="AF48" i="1"/>
  <c r="AE48" i="1"/>
  <c r="AD48" i="1"/>
  <c r="Z48" i="1"/>
  <c r="J48" i="1"/>
  <c r="BJ46" i="1"/>
  <c r="BF46" i="1"/>
  <c r="BD46" i="1"/>
  <c r="AP46" i="1"/>
  <c r="BI46" i="1" s="1"/>
  <c r="AC46" i="1" s="1"/>
  <c r="AO46" i="1"/>
  <c r="AW46" i="1" s="1"/>
  <c r="AL46" i="1"/>
  <c r="AK46" i="1"/>
  <c r="AT45" i="1" s="1"/>
  <c r="AJ46" i="1"/>
  <c r="AH46" i="1"/>
  <c r="AG46" i="1"/>
  <c r="AF46" i="1"/>
  <c r="AE46" i="1"/>
  <c r="AD46" i="1"/>
  <c r="Z46" i="1"/>
  <c r="J46" i="1"/>
  <c r="J45" i="1"/>
  <c r="BJ42" i="1"/>
  <c r="BF42" i="1"/>
  <c r="BD42" i="1"/>
  <c r="AP42" i="1"/>
  <c r="AX42" i="1" s="1"/>
  <c r="AO42" i="1"/>
  <c r="AW42" i="1" s="1"/>
  <c r="AV42" i="1" s="1"/>
  <c r="AL42" i="1"/>
  <c r="AK42" i="1"/>
  <c r="AJ42" i="1"/>
  <c r="AS38" i="1" s="1"/>
  <c r="AH42" i="1"/>
  <c r="AG42" i="1"/>
  <c r="AF42" i="1"/>
  <c r="AE42" i="1"/>
  <c r="AD42" i="1"/>
  <c r="Z42" i="1"/>
  <c r="J42" i="1"/>
  <c r="BJ39" i="1"/>
  <c r="BF39" i="1"/>
  <c r="BD39" i="1"/>
  <c r="AP39" i="1"/>
  <c r="AX39" i="1" s="1"/>
  <c r="AO39" i="1"/>
  <c r="AW39" i="1" s="1"/>
  <c r="AL39" i="1"/>
  <c r="AK39" i="1"/>
  <c r="AT38" i="1" s="1"/>
  <c r="AJ39" i="1"/>
  <c r="AH39" i="1"/>
  <c r="AG39" i="1"/>
  <c r="AF39" i="1"/>
  <c r="AE39" i="1"/>
  <c r="AD39" i="1"/>
  <c r="Z39" i="1"/>
  <c r="J39" i="1"/>
  <c r="AU38" i="1"/>
  <c r="J38" i="1"/>
  <c r="BJ37" i="1"/>
  <c r="BH37" i="1"/>
  <c r="AB37" i="1" s="1"/>
  <c r="BF37" i="1"/>
  <c r="BD37" i="1"/>
  <c r="BC37" i="1"/>
  <c r="AP37" i="1"/>
  <c r="AX37" i="1" s="1"/>
  <c r="AO37" i="1"/>
  <c r="AW37" i="1" s="1"/>
  <c r="AL37" i="1"/>
  <c r="AU36" i="1" s="1"/>
  <c r="AK37" i="1"/>
  <c r="AJ37" i="1"/>
  <c r="AS36" i="1" s="1"/>
  <c r="AH37" i="1"/>
  <c r="AG37" i="1"/>
  <c r="AF37" i="1"/>
  <c r="AE37" i="1"/>
  <c r="AD37" i="1"/>
  <c r="Z37" i="1"/>
  <c r="J37" i="1"/>
  <c r="AT36" i="1"/>
  <c r="J36" i="1"/>
  <c r="BJ34" i="1"/>
  <c r="BF34" i="1"/>
  <c r="BD34" i="1"/>
  <c r="AX34" i="1"/>
  <c r="AP34" i="1"/>
  <c r="BI34" i="1" s="1"/>
  <c r="AC34" i="1" s="1"/>
  <c r="AO34" i="1"/>
  <c r="AW34" i="1" s="1"/>
  <c r="AK34" i="1"/>
  <c r="AT33" i="1" s="1"/>
  <c r="AJ34" i="1"/>
  <c r="AH34" i="1"/>
  <c r="AG34" i="1"/>
  <c r="AF34" i="1"/>
  <c r="AE34" i="1"/>
  <c r="AD34" i="1"/>
  <c r="Z34" i="1"/>
  <c r="J34" i="1"/>
  <c r="I34" i="1"/>
  <c r="AS33" i="1"/>
  <c r="I33" i="1"/>
  <c r="BJ32" i="1"/>
  <c r="BF32" i="1"/>
  <c r="BD32" i="1"/>
  <c r="AX32" i="1"/>
  <c r="AW32" i="1"/>
  <c r="AP32" i="1"/>
  <c r="BI32" i="1" s="1"/>
  <c r="AC32" i="1" s="1"/>
  <c r="AO32" i="1"/>
  <c r="BH32" i="1" s="1"/>
  <c r="AB32" i="1" s="1"/>
  <c r="AK32" i="1"/>
  <c r="AJ32" i="1"/>
  <c r="AH32" i="1"/>
  <c r="AG32" i="1"/>
  <c r="AF32" i="1"/>
  <c r="AE32" i="1"/>
  <c r="AD32" i="1"/>
  <c r="Z32" i="1"/>
  <c r="J32" i="1"/>
  <c r="AL32" i="1" s="1"/>
  <c r="I32" i="1"/>
  <c r="H32" i="1"/>
  <c r="BJ31" i="1"/>
  <c r="BF31" i="1"/>
  <c r="BD31" i="1"/>
  <c r="AX31" i="1"/>
  <c r="AP31" i="1"/>
  <c r="BI31" i="1" s="1"/>
  <c r="AC31" i="1" s="1"/>
  <c r="AO31" i="1"/>
  <c r="AW31" i="1" s="1"/>
  <c r="AK31" i="1"/>
  <c r="AJ31" i="1"/>
  <c r="AH31" i="1"/>
  <c r="AG31" i="1"/>
  <c r="AF31" i="1"/>
  <c r="AE31" i="1"/>
  <c r="AD31" i="1"/>
  <c r="Z31" i="1"/>
  <c r="J31" i="1"/>
  <c r="AL31" i="1" s="1"/>
  <c r="AU26" i="1" s="1"/>
  <c r="I31" i="1"/>
  <c r="BJ29" i="1"/>
  <c r="BI29" i="1"/>
  <c r="BF29" i="1"/>
  <c r="BD29" i="1"/>
  <c r="AP29" i="1"/>
  <c r="AX29" i="1" s="1"/>
  <c r="AO29" i="1"/>
  <c r="AW29" i="1" s="1"/>
  <c r="AV29" i="1" s="1"/>
  <c r="AL29" i="1"/>
  <c r="AK29" i="1"/>
  <c r="AJ29" i="1"/>
  <c r="AS26" i="1" s="1"/>
  <c r="AH29" i="1"/>
  <c r="AG29" i="1"/>
  <c r="AF29" i="1"/>
  <c r="AE29" i="1"/>
  <c r="AD29" i="1"/>
  <c r="AC29" i="1"/>
  <c r="Z29" i="1"/>
  <c r="J29" i="1"/>
  <c r="BJ27" i="1"/>
  <c r="BF27" i="1"/>
  <c r="BD27" i="1"/>
  <c r="AP27" i="1"/>
  <c r="AX27" i="1" s="1"/>
  <c r="AO27" i="1"/>
  <c r="H27" i="1" s="1"/>
  <c r="AL27" i="1"/>
  <c r="AK27" i="1"/>
  <c r="AT26" i="1" s="1"/>
  <c r="AJ27" i="1"/>
  <c r="AH27" i="1"/>
  <c r="AG27" i="1"/>
  <c r="AF27" i="1"/>
  <c r="AE27" i="1"/>
  <c r="AD27" i="1"/>
  <c r="Z27" i="1"/>
  <c r="J27" i="1"/>
  <c r="J26" i="1"/>
  <c r="BJ23" i="1"/>
  <c r="BF23" i="1"/>
  <c r="BD23" i="1"/>
  <c r="AP23" i="1"/>
  <c r="AX23" i="1" s="1"/>
  <c r="AO23" i="1"/>
  <c r="AW23" i="1" s="1"/>
  <c r="AV23" i="1" s="1"/>
  <c r="AL23" i="1"/>
  <c r="AK23" i="1"/>
  <c r="AJ23" i="1"/>
  <c r="AS20" i="1" s="1"/>
  <c r="AH23" i="1"/>
  <c r="AG23" i="1"/>
  <c r="AF23" i="1"/>
  <c r="AE23" i="1"/>
  <c r="AD23" i="1"/>
  <c r="Z23" i="1"/>
  <c r="J23" i="1"/>
  <c r="BJ21" i="1"/>
  <c r="BF21" i="1"/>
  <c r="BD21" i="1"/>
  <c r="AP21" i="1"/>
  <c r="AX21" i="1" s="1"/>
  <c r="AO21" i="1"/>
  <c r="H21" i="1" s="1"/>
  <c r="AL21" i="1"/>
  <c r="AK21" i="1"/>
  <c r="AT20" i="1" s="1"/>
  <c r="AJ21" i="1"/>
  <c r="AH21" i="1"/>
  <c r="AG21" i="1"/>
  <c r="AF21" i="1"/>
  <c r="AE21" i="1"/>
  <c r="AD21" i="1"/>
  <c r="Z21" i="1"/>
  <c r="J21" i="1"/>
  <c r="AU20" i="1"/>
  <c r="J20" i="1"/>
  <c r="BJ17" i="1"/>
  <c r="BH17" i="1"/>
  <c r="AB17" i="1" s="1"/>
  <c r="BF17" i="1"/>
  <c r="BD17" i="1"/>
  <c r="AP17" i="1"/>
  <c r="AX17" i="1" s="1"/>
  <c r="AO17" i="1"/>
  <c r="AW17" i="1" s="1"/>
  <c r="AV17" i="1" s="1"/>
  <c r="AL17" i="1"/>
  <c r="AU16" i="1" s="1"/>
  <c r="AK17" i="1"/>
  <c r="AJ17" i="1"/>
  <c r="AS16" i="1" s="1"/>
  <c r="AH17" i="1"/>
  <c r="AG17" i="1"/>
  <c r="AF17" i="1"/>
  <c r="AE17" i="1"/>
  <c r="AD17" i="1"/>
  <c r="Z17" i="1"/>
  <c r="J17" i="1"/>
  <c r="AT16" i="1"/>
  <c r="J16" i="1"/>
  <c r="BJ14" i="1"/>
  <c r="BF14" i="1"/>
  <c r="BD14" i="1"/>
  <c r="AX14" i="1"/>
  <c r="AP14" i="1"/>
  <c r="BI14" i="1" s="1"/>
  <c r="AC14" i="1" s="1"/>
  <c r="AO14" i="1"/>
  <c r="AW14" i="1" s="1"/>
  <c r="AK14" i="1"/>
  <c r="AJ14" i="1"/>
  <c r="AH14" i="1"/>
  <c r="AG14" i="1"/>
  <c r="AF14" i="1"/>
  <c r="AE14" i="1"/>
  <c r="AD14" i="1"/>
  <c r="Z14" i="1"/>
  <c r="J14" i="1"/>
  <c r="I14" i="1"/>
  <c r="AS13" i="1"/>
  <c r="I13" i="1"/>
  <c r="AU1" i="1"/>
  <c r="AT1" i="1"/>
  <c r="AS1" i="1"/>
  <c r="BC163" i="1" l="1"/>
  <c r="AT101" i="1"/>
  <c r="BC72" i="1"/>
  <c r="AV72" i="1"/>
  <c r="C20" i="2"/>
  <c r="BC17" i="1"/>
  <c r="AL34" i="1"/>
  <c r="AU33" i="1" s="1"/>
  <c r="J33" i="1"/>
  <c r="BC39" i="1"/>
  <c r="AV39" i="1"/>
  <c r="AV52" i="1"/>
  <c r="BC52" i="1"/>
  <c r="BC67" i="1"/>
  <c r="AV67" i="1"/>
  <c r="BC68" i="1"/>
  <c r="AV68" i="1"/>
  <c r="AV32" i="1"/>
  <c r="BC32" i="1"/>
  <c r="AV49" i="1"/>
  <c r="BC49" i="1"/>
  <c r="BC69" i="1"/>
  <c r="AV69" i="1"/>
  <c r="AL14" i="1"/>
  <c r="J13" i="1"/>
  <c r="BC66" i="1"/>
  <c r="AV92" i="1"/>
  <c r="AU51" i="1"/>
  <c r="AV34" i="1"/>
  <c r="BC34" i="1"/>
  <c r="C21" i="2"/>
  <c r="AU71" i="1"/>
  <c r="AV55" i="1"/>
  <c r="BC55" i="1"/>
  <c r="BC42" i="1"/>
  <c r="AV31" i="1"/>
  <c r="BC31" i="1"/>
  <c r="AV37" i="1"/>
  <c r="AU63" i="1"/>
  <c r="AV76" i="1"/>
  <c r="BC76" i="1"/>
  <c r="AV70" i="1"/>
  <c r="BC70" i="1"/>
  <c r="AV14" i="1"/>
  <c r="BC14" i="1"/>
  <c r="BC23" i="1"/>
  <c r="BC29" i="1"/>
  <c r="BC74" i="1"/>
  <c r="AV74" i="1"/>
  <c r="BI66" i="1"/>
  <c r="AC66" i="1" s="1"/>
  <c r="AW86" i="1"/>
  <c r="BH86" i="1"/>
  <c r="AB86" i="1" s="1"/>
  <c r="C27" i="2"/>
  <c r="J51" i="1"/>
  <c r="BI67" i="1"/>
  <c r="AC67" i="1" s="1"/>
  <c r="BH68" i="1"/>
  <c r="AB68" i="1" s="1"/>
  <c r="BI84" i="1"/>
  <c r="AC84" i="1" s="1"/>
  <c r="AV157" i="1"/>
  <c r="AX169" i="1"/>
  <c r="I169" i="1"/>
  <c r="AV185" i="1"/>
  <c r="I18" i="3"/>
  <c r="F14" i="2"/>
  <c r="F22" i="2" s="1"/>
  <c r="AW125" i="1"/>
  <c r="H125" i="1"/>
  <c r="BC147" i="1"/>
  <c r="AV147" i="1"/>
  <c r="AW169" i="1"/>
  <c r="H169" i="1"/>
  <c r="AX194" i="1"/>
  <c r="I194" i="1"/>
  <c r="I191" i="1" s="1"/>
  <c r="C28" i="2"/>
  <c r="F28" i="2" s="1"/>
  <c r="BH21" i="1"/>
  <c r="AB21" i="1" s="1"/>
  <c r="BH27" i="1"/>
  <c r="AB27" i="1" s="1"/>
  <c r="BH39" i="1"/>
  <c r="AB39" i="1" s="1"/>
  <c r="BH46" i="1"/>
  <c r="AB46" i="1" s="1"/>
  <c r="BC58" i="1"/>
  <c r="I61" i="1"/>
  <c r="I60" i="1" s="1"/>
  <c r="I66" i="1"/>
  <c r="I63" i="1" s="1"/>
  <c r="H67" i="1"/>
  <c r="H63" i="1" s="1"/>
  <c r="H59" i="1" s="1"/>
  <c r="BI68" i="1"/>
  <c r="AC68" i="1" s="1"/>
  <c r="BH69" i="1"/>
  <c r="AB69" i="1" s="1"/>
  <c r="BH72" i="1"/>
  <c r="AB72" i="1" s="1"/>
  <c r="BC78" i="1"/>
  <c r="AU88" i="1"/>
  <c r="AS88" i="1"/>
  <c r="AX93" i="1"/>
  <c r="J97" i="1"/>
  <c r="BC99" i="1"/>
  <c r="AV109" i="1"/>
  <c r="BC109" i="1"/>
  <c r="AV117" i="1"/>
  <c r="BC117" i="1"/>
  <c r="AX136" i="1"/>
  <c r="I136" i="1"/>
  <c r="AW140" i="1"/>
  <c r="H140" i="1"/>
  <c r="AV182" i="1"/>
  <c r="AU191" i="1"/>
  <c r="H191" i="1"/>
  <c r="BI21" i="1"/>
  <c r="AC21" i="1" s="1"/>
  <c r="BH52" i="1"/>
  <c r="AB52" i="1" s="1"/>
  <c r="H86" i="1"/>
  <c r="H83" i="1" s="1"/>
  <c r="H82" i="1" s="1"/>
  <c r="BC90" i="1"/>
  <c r="BC95" i="1"/>
  <c r="AV95" i="1"/>
  <c r="AX99" i="1"/>
  <c r="AV99" i="1" s="1"/>
  <c r="I99" i="1"/>
  <c r="I98" i="1" s="1"/>
  <c r="BC103" i="1"/>
  <c r="AV103" i="1"/>
  <c r="AW113" i="1"/>
  <c r="H113" i="1"/>
  <c r="BC127" i="1"/>
  <c r="AV127" i="1"/>
  <c r="AX140" i="1"/>
  <c r="I140" i="1"/>
  <c r="AW171" i="1"/>
  <c r="H171" i="1"/>
  <c r="J181" i="1"/>
  <c r="AW199" i="1"/>
  <c r="H199" i="1"/>
  <c r="H198" i="1" s="1"/>
  <c r="BH67" i="1"/>
  <c r="AB67" i="1" s="1"/>
  <c r="BI27" i="1"/>
  <c r="AC27" i="1" s="1"/>
  <c r="C16" i="2"/>
  <c r="BH31" i="1"/>
  <c r="AB31" i="1" s="1"/>
  <c r="BH34" i="1"/>
  <c r="AB34" i="1" s="1"/>
  <c r="BI37" i="1"/>
  <c r="AC37" i="1" s="1"/>
  <c r="H39" i="1"/>
  <c r="BI42" i="1"/>
  <c r="AC42" i="1" s="1"/>
  <c r="H46" i="1"/>
  <c r="BI48" i="1"/>
  <c r="AC48" i="1" s="1"/>
  <c r="BH49" i="1"/>
  <c r="AB49" i="1" s="1"/>
  <c r="BI52" i="1"/>
  <c r="AC52" i="1" s="1"/>
  <c r="BH55" i="1"/>
  <c r="AB55" i="1" s="1"/>
  <c r="J63" i="1"/>
  <c r="I68" i="1"/>
  <c r="H69" i="1"/>
  <c r="BI70" i="1"/>
  <c r="AC70" i="1" s="1"/>
  <c r="H72" i="1"/>
  <c r="H71" i="1" s="1"/>
  <c r="BI74" i="1"/>
  <c r="AC74" i="1" s="1"/>
  <c r="BH76" i="1"/>
  <c r="AB76" i="1" s="1"/>
  <c r="AW84" i="1"/>
  <c r="AW89" i="1"/>
  <c r="H89" i="1"/>
  <c r="H88" i="1" s="1"/>
  <c r="J101" i="1"/>
  <c r="AX103" i="1"/>
  <c r="I103" i="1"/>
  <c r="I101" i="1" s="1"/>
  <c r="AW106" i="1"/>
  <c r="H106" i="1"/>
  <c r="H101" i="1" s="1"/>
  <c r="H97" i="1" s="1"/>
  <c r="BH125" i="1"/>
  <c r="AB125" i="1" s="1"/>
  <c r="BC157" i="1"/>
  <c r="AV160" i="1"/>
  <c r="BC160" i="1"/>
  <c r="BH169" i="1"/>
  <c r="AB169" i="1" s="1"/>
  <c r="AV175" i="1"/>
  <c r="BC185" i="1"/>
  <c r="F35" i="3"/>
  <c r="I35" i="3" s="1"/>
  <c r="I45" i="3" s="1"/>
  <c r="I24" i="2" s="1"/>
  <c r="AV193" i="1"/>
  <c r="BC193" i="1"/>
  <c r="BI194" i="1"/>
  <c r="AW195" i="1"/>
  <c r="H195" i="1"/>
  <c r="AW197" i="1"/>
  <c r="H197" i="1"/>
  <c r="H196" i="1" s="1"/>
  <c r="I22" i="2"/>
  <c r="BH23" i="1"/>
  <c r="AB23" i="1" s="1"/>
  <c r="BH29" i="1"/>
  <c r="AB29" i="1" s="1"/>
  <c r="BI39" i="1"/>
  <c r="AC39" i="1" s="1"/>
  <c r="BH42" i="1"/>
  <c r="AB42" i="1" s="1"/>
  <c r="BI69" i="1"/>
  <c r="AC69" i="1" s="1"/>
  <c r="BH74" i="1"/>
  <c r="AB74" i="1" s="1"/>
  <c r="BH14" i="1"/>
  <c r="AB14" i="1" s="1"/>
  <c r="C17" i="2"/>
  <c r="H17" i="1"/>
  <c r="H16" i="1" s="1"/>
  <c r="I21" i="1"/>
  <c r="AW21" i="1"/>
  <c r="H23" i="1"/>
  <c r="H20" i="1" s="1"/>
  <c r="I27" i="1"/>
  <c r="AW27" i="1"/>
  <c r="H29" i="1"/>
  <c r="H26" i="1" s="1"/>
  <c r="H37" i="1"/>
  <c r="H36" i="1" s="1"/>
  <c r="I39" i="1"/>
  <c r="I38" i="1" s="1"/>
  <c r="H42" i="1"/>
  <c r="I46" i="1"/>
  <c r="H48" i="1"/>
  <c r="H52" i="1"/>
  <c r="H51" i="1" s="1"/>
  <c r="J60" i="1"/>
  <c r="J59" i="1" s="1"/>
  <c r="I69" i="1"/>
  <c r="H70" i="1"/>
  <c r="I72" i="1"/>
  <c r="I71" i="1" s="1"/>
  <c r="H74" i="1"/>
  <c r="AV91" i="1"/>
  <c r="BC91" i="1"/>
  <c r="BI93" i="1"/>
  <c r="AC93" i="1" s="1"/>
  <c r="BI112" i="1"/>
  <c r="AC112" i="1" s="1"/>
  <c r="AX119" i="1"/>
  <c r="I119" i="1"/>
  <c r="AW122" i="1"/>
  <c r="H122" i="1"/>
  <c r="AW146" i="1"/>
  <c r="H146" i="1"/>
  <c r="BI169" i="1"/>
  <c r="AC169" i="1" s="1"/>
  <c r="AV186" i="1"/>
  <c r="BC186" i="1"/>
  <c r="AW112" i="1"/>
  <c r="H112" i="1"/>
  <c r="BH70" i="1"/>
  <c r="AB70" i="1" s="1"/>
  <c r="BI72" i="1"/>
  <c r="AC72" i="1" s="1"/>
  <c r="AT13" i="1"/>
  <c r="C18" i="2"/>
  <c r="I17" i="1"/>
  <c r="I16" i="1" s="1"/>
  <c r="I23" i="1"/>
  <c r="I29" i="1"/>
  <c r="H31" i="1"/>
  <c r="H34" i="1"/>
  <c r="H33" i="1" s="1"/>
  <c r="I37" i="1"/>
  <c r="I36" i="1" s="1"/>
  <c r="I42" i="1"/>
  <c r="AX46" i="1"/>
  <c r="BC46" i="1" s="1"/>
  <c r="I48" i="1"/>
  <c r="AW48" i="1"/>
  <c r="H49" i="1"/>
  <c r="I52" i="1"/>
  <c r="I51" i="1" s="1"/>
  <c r="H55" i="1"/>
  <c r="I70" i="1"/>
  <c r="I74" i="1"/>
  <c r="H76" i="1"/>
  <c r="BH95" i="1"/>
  <c r="AB95" i="1" s="1"/>
  <c r="BI99" i="1"/>
  <c r="AC99" i="1" s="1"/>
  <c r="AU101" i="1"/>
  <c r="AV108" i="1"/>
  <c r="I112" i="1"/>
  <c r="BC114" i="1"/>
  <c r="AV114" i="1"/>
  <c r="AX122" i="1"/>
  <c r="I122" i="1"/>
  <c r="BC128" i="1"/>
  <c r="BH140" i="1"/>
  <c r="AB140" i="1" s="1"/>
  <c r="BC179" i="1"/>
  <c r="AX166" i="1"/>
  <c r="I166" i="1"/>
  <c r="BI17" i="1"/>
  <c r="AC17" i="1" s="1"/>
  <c r="BI23" i="1"/>
  <c r="AC23" i="1" s="1"/>
  <c r="C15" i="2" s="1"/>
  <c r="H14" i="1"/>
  <c r="H13" i="1" s="1"/>
  <c r="C19" i="2"/>
  <c r="I84" i="1"/>
  <c r="I83" i="1" s="1"/>
  <c r="I95" i="1"/>
  <c r="BI95" i="1"/>
  <c r="AC95" i="1" s="1"/>
  <c r="BC102" i="1"/>
  <c r="BI103" i="1"/>
  <c r="AC103" i="1" s="1"/>
  <c r="AV111" i="1"/>
  <c r="BH113" i="1"/>
  <c r="AB113" i="1" s="1"/>
  <c r="AV115" i="1"/>
  <c r="AV116" i="1"/>
  <c r="BC129" i="1"/>
  <c r="AV131" i="1"/>
  <c r="BC131" i="1"/>
  <c r="BI136" i="1"/>
  <c r="AC136" i="1" s="1"/>
  <c r="BI140" i="1"/>
  <c r="AC140" i="1" s="1"/>
  <c r="BH171" i="1"/>
  <c r="AB171" i="1" s="1"/>
  <c r="BC173" i="1"/>
  <c r="AV173" i="1"/>
  <c r="J190" i="1"/>
  <c r="J189" i="1"/>
  <c r="AV192" i="1"/>
  <c r="BH199" i="1"/>
  <c r="AX92" i="1"/>
  <c r="BC92" i="1" s="1"/>
  <c r="AW93" i="1"/>
  <c r="BH99" i="1"/>
  <c r="AB99" i="1" s="1"/>
  <c r="BI102" i="1"/>
  <c r="AC102" i="1" s="1"/>
  <c r="BH103" i="1"/>
  <c r="AB103" i="1" s="1"/>
  <c r="BI113" i="1"/>
  <c r="AC113" i="1" s="1"/>
  <c r="BH114" i="1"/>
  <c r="AB114" i="1" s="1"/>
  <c r="BI125" i="1"/>
  <c r="AC125" i="1" s="1"/>
  <c r="BH127" i="1"/>
  <c r="AB127" i="1" s="1"/>
  <c r="BI146" i="1"/>
  <c r="AC146" i="1" s="1"/>
  <c r="BH147" i="1"/>
  <c r="AB147" i="1" s="1"/>
  <c r="BI171" i="1"/>
  <c r="AC171" i="1" s="1"/>
  <c r="BH173" i="1"/>
  <c r="AB173" i="1" s="1"/>
  <c r="AX188" i="1"/>
  <c r="AV188" i="1" s="1"/>
  <c r="AW194" i="1"/>
  <c r="BI195" i="1"/>
  <c r="BI197" i="1"/>
  <c r="BI199" i="1"/>
  <c r="I27" i="3"/>
  <c r="BI114" i="1"/>
  <c r="AC114" i="1" s="1"/>
  <c r="BH115" i="1"/>
  <c r="AB115" i="1" s="1"/>
  <c r="BI127" i="1"/>
  <c r="AC127" i="1" s="1"/>
  <c r="BH128" i="1"/>
  <c r="AB128" i="1" s="1"/>
  <c r="BI147" i="1"/>
  <c r="AC147" i="1" s="1"/>
  <c r="BH156" i="1"/>
  <c r="AB156" i="1" s="1"/>
  <c r="BI89" i="1"/>
  <c r="AC89" i="1" s="1"/>
  <c r="BH90" i="1"/>
  <c r="AB90" i="1" s="1"/>
  <c r="BI106" i="1"/>
  <c r="AC106" i="1" s="1"/>
  <c r="BH108" i="1"/>
  <c r="AB108" i="1" s="1"/>
  <c r="BI115" i="1"/>
  <c r="AC115" i="1" s="1"/>
  <c r="BH116" i="1"/>
  <c r="AB116" i="1" s="1"/>
  <c r="BI128" i="1"/>
  <c r="AC128" i="1" s="1"/>
  <c r="BH129" i="1"/>
  <c r="AB129" i="1" s="1"/>
  <c r="BI156" i="1"/>
  <c r="AC156" i="1" s="1"/>
  <c r="BH157" i="1"/>
  <c r="AB157" i="1" s="1"/>
  <c r="BI175" i="1"/>
  <c r="AC175" i="1" s="1"/>
  <c r="BH179" i="1"/>
  <c r="AB179" i="1" s="1"/>
  <c r="BI182" i="1"/>
  <c r="AE182" i="1" s="1"/>
  <c r="BH185" i="1"/>
  <c r="AD185" i="1" s="1"/>
  <c r="BI192" i="1"/>
  <c r="BI108" i="1"/>
  <c r="AC108" i="1" s="1"/>
  <c r="BH109" i="1"/>
  <c r="AB109" i="1" s="1"/>
  <c r="I114" i="1"/>
  <c r="H115" i="1"/>
  <c r="BI116" i="1"/>
  <c r="AC116" i="1" s="1"/>
  <c r="BH117" i="1"/>
  <c r="AB117" i="1" s="1"/>
  <c r="I127" i="1"/>
  <c r="H128" i="1"/>
  <c r="BI129" i="1"/>
  <c r="AC129" i="1" s="1"/>
  <c r="BH131" i="1"/>
  <c r="AB131" i="1" s="1"/>
  <c r="I147" i="1"/>
  <c r="H156" i="1"/>
  <c r="BI157" i="1"/>
  <c r="AC157" i="1" s="1"/>
  <c r="BH160" i="1"/>
  <c r="AB160" i="1" s="1"/>
  <c r="BI179" i="1"/>
  <c r="AC179" i="1" s="1"/>
  <c r="BI185" i="1"/>
  <c r="AE185" i="1" s="1"/>
  <c r="I89" i="1"/>
  <c r="I106" i="1"/>
  <c r="H108" i="1"/>
  <c r="BC122" i="1" l="1"/>
  <c r="AV122" i="1"/>
  <c r="BC171" i="1"/>
  <c r="AV171" i="1"/>
  <c r="BC136" i="1"/>
  <c r="AV136" i="1"/>
  <c r="AV86" i="1"/>
  <c r="BC86" i="1"/>
  <c r="AV46" i="1"/>
  <c r="AV48" i="1"/>
  <c r="BC48" i="1"/>
  <c r="BC119" i="1"/>
  <c r="AV119" i="1"/>
  <c r="C14" i="2"/>
  <c r="C22" i="2" s="1"/>
  <c r="AV106" i="1"/>
  <c r="BC106" i="1"/>
  <c r="BC125" i="1"/>
  <c r="AV125" i="1"/>
  <c r="BC93" i="1"/>
  <c r="AV93" i="1"/>
  <c r="H45" i="1"/>
  <c r="F29" i="3"/>
  <c r="I82" i="1"/>
  <c r="BC27" i="1"/>
  <c r="AV27" i="1"/>
  <c r="BC197" i="1"/>
  <c r="AV197" i="1"/>
  <c r="I97" i="1"/>
  <c r="H190" i="1"/>
  <c r="H189" i="1"/>
  <c r="I190" i="1"/>
  <c r="I189" i="1"/>
  <c r="I26" i="1"/>
  <c r="BC195" i="1"/>
  <c r="AV195" i="1"/>
  <c r="BC188" i="1"/>
  <c r="I88" i="1"/>
  <c r="I59" i="1"/>
  <c r="BC194" i="1"/>
  <c r="AV194" i="1"/>
  <c r="BC146" i="1"/>
  <c r="AV146" i="1"/>
  <c r="I45" i="1"/>
  <c r="BC21" i="1"/>
  <c r="AV21" i="1"/>
  <c r="H38" i="1"/>
  <c r="H12" i="1" s="1"/>
  <c r="BC199" i="1"/>
  <c r="AV199" i="1"/>
  <c r="BC169" i="1"/>
  <c r="AV169" i="1"/>
  <c r="AV84" i="1"/>
  <c r="BC84" i="1"/>
  <c r="C29" i="2"/>
  <c r="F29" i="2" s="1"/>
  <c r="AU13" i="1"/>
  <c r="BC112" i="1"/>
  <c r="AV112" i="1"/>
  <c r="BC166" i="1"/>
  <c r="AV166" i="1"/>
  <c r="I20" i="1"/>
  <c r="I12" i="1" s="1"/>
  <c r="AV89" i="1"/>
  <c r="BC89" i="1"/>
  <c r="BC113" i="1"/>
  <c r="AV113" i="1"/>
  <c r="BC140" i="1"/>
  <c r="AV140" i="1"/>
  <c r="J200" i="1"/>
  <c r="J12" i="1"/>
  <c r="I28" i="2" l="1"/>
  <c r="I29" i="2" s="1"/>
</calcChain>
</file>

<file path=xl/sharedStrings.xml><?xml version="1.0" encoding="utf-8"?>
<sst xmlns="http://schemas.openxmlformats.org/spreadsheetml/2006/main" count="1562" uniqueCount="547">
  <si>
    <t>Slepý stavební rozpočet</t>
  </si>
  <si>
    <t>Název stavby:</t>
  </si>
  <si>
    <t>PARK U CIHELNY - 1. ETAPA</t>
  </si>
  <si>
    <t>Doba výstavby:</t>
  </si>
  <si>
    <t xml:space="preserve"> </t>
  </si>
  <si>
    <t>Objednatel:</t>
  </si>
  <si>
    <t>Město Ivančice, Palackého nám. 196/6, 664 91 Ivanč</t>
  </si>
  <si>
    <t>Druh stavby:</t>
  </si>
  <si>
    <t>Park</t>
  </si>
  <si>
    <t>Začátek výstavby:</t>
  </si>
  <si>
    <t>31.03.2025</t>
  </si>
  <si>
    <t>Projektant:</t>
  </si>
  <si>
    <t>Atelier V8 s.r.o., Vez Zmolách 10, 675 73 Kralice</t>
  </si>
  <si>
    <t>Lokalita:</t>
  </si>
  <si>
    <t>Ivančice</t>
  </si>
  <si>
    <t>Konec výstavby:</t>
  </si>
  <si>
    <t>Zhotovitel:</t>
  </si>
  <si>
    <t> </t>
  </si>
  <si>
    <t>JKSO:</t>
  </si>
  <si>
    <t>823</t>
  </si>
  <si>
    <t>Zpracováno dne:</t>
  </si>
  <si>
    <t>Zpracoval:</t>
  </si>
  <si>
    <t>Ing. Jitka Vágnerová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</si>
  <si>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</si>
  <si>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</si>
  <si>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</si>
  <si>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</si>
  <si>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</si>
  <si>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</si>
  <si>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</si>
  <si>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</si>
  <si>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</si>
  <si>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</si>
  <si>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</si>
  <si>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</si>
  <si>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</si>
  <si>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</si>
  <si>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</si>
  <si>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</si>
  <si>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</si>
  <si>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</si>
  <si>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</si>
  <si>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</si>
  <si>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</si>
  <si>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</si>
  <si>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</si>
  <si>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</si>
  <si>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</si>
  <si>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</si>
  <si>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</si>
  <si>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</si>
  <si>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</si>
  <si>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</si>
  <si>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TERÉNNÍ ÚPRAVY A ZPEVNĚNÉ PLOCHY</t>
  </si>
  <si>
    <t>000VD</t>
  </si>
  <si>
    <t>Ochrana a řez dřevin</t>
  </si>
  <si>
    <t>SO01</t>
  </si>
  <si>
    <t>1</t>
  </si>
  <si>
    <t>00001001</t>
  </si>
  <si>
    <t>Ochrana vegetačních ploch při stavební činnosti - dočasné oplocení - zápůjčka týdenní</t>
  </si>
  <si>
    <t>bm/týd</t>
  </si>
  <si>
    <t>vlastní</t>
  </si>
  <si>
    <t>000VD_</t>
  </si>
  <si>
    <t>SO01_0_</t>
  </si>
  <si>
    <t>SO01_</t>
  </si>
  <si>
    <t>Varianta:</t>
  </si>
  <si>
    <t>- pevně ukotvené mobilní opůlocení o výšce min. 1,8 m, včetně stavby, demontáže, odvozu</t>
  </si>
  <si>
    <t>11</t>
  </si>
  <si>
    <t>Přípravné a přidružené práce</t>
  </si>
  <si>
    <t>2</t>
  </si>
  <si>
    <t>111201101R00</t>
  </si>
  <si>
    <t>Odstranění křovin i s kořeny na ploše do 1000 m2</t>
  </si>
  <si>
    <t>m2</t>
  </si>
  <si>
    <t>RTS I / 2025</t>
  </si>
  <si>
    <t>11_</t>
  </si>
  <si>
    <t>SO01_1_</t>
  </si>
  <si>
    <t>odstranění ponechaných kořenů a pařezů</t>
  </si>
  <si>
    <t>RTS komentář:</t>
  </si>
  <si>
    <t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</si>
  <si>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>12</t>
  </si>
  <si>
    <t>Odkopávky a prokopávky</t>
  </si>
  <si>
    <t>3</t>
  </si>
  <si>
    <t>121101101R00</t>
  </si>
  <si>
    <t>Sejmutí ornice s přemístěním do 50 m</t>
  </si>
  <si>
    <t>m3</t>
  </si>
  <si>
    <t>12_</t>
  </si>
  <si>
    <t xml:space="preserve"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 srýpnutí organického půdního krytu až na 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 seřezání vrbového proutí, prořezávka porostů.  Odstraněním křovin a stromů s odstraněním nebo 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 na místě, spálení odstraněných křovin, přihrnování křovin, očištění spáleniště, uložení popela a zbytků na hromadu, odstranění pařezů pojezdem traktoru s frézou na pařezy, nutné přemístění a uložení na hromady na vzdálenost do50 m nebo naložení na dopravní prostředek do sklonu terénu 1 : 5. </t>
  </si>
  <si>
    <t>4</t>
  </si>
  <si>
    <t>122100010RA0</t>
  </si>
  <si>
    <t>Odkopávky nezapažené v hornině 1-4</t>
  </si>
  <si>
    <t>rozprostření vykopané zeminy v ploše stavby</t>
  </si>
  <si>
    <t>V položce není kalkulován poplatek za skládku zeminy. Tyto náklady se oceňují individuálně podle místních podmínek</t>
  </si>
  <si>
    <t>18</t>
  </si>
  <si>
    <t>Povrchové úpravy terénu</t>
  </si>
  <si>
    <t>5</t>
  </si>
  <si>
    <t>181050010RA0</t>
  </si>
  <si>
    <t>Terénní modelace</t>
  </si>
  <si>
    <t>18_</t>
  </si>
  <si>
    <t>6</t>
  </si>
  <si>
    <t>181301103R00</t>
  </si>
  <si>
    <t>Rozprostření ornice, rovina, tl. 15-20 cm,do 500m2</t>
  </si>
  <si>
    <t>Položka se používá pro souvislé plochy do 500 m2.</t>
  </si>
  <si>
    <t>7</t>
  </si>
  <si>
    <t>181201102R00</t>
  </si>
  <si>
    <t>Úprava pláně v násypech v hor. 1-4, se zhutněním</t>
  </si>
  <si>
    <t>8</t>
  </si>
  <si>
    <t>181201101R00</t>
  </si>
  <si>
    <t>Úprava pláně v násypech v hor. 1-4, bez zhutnění</t>
  </si>
  <si>
    <t>27</t>
  </si>
  <si>
    <t>Základy</t>
  </si>
  <si>
    <t>9</t>
  </si>
  <si>
    <t>275310030RAA</t>
  </si>
  <si>
    <t>Základová patka z betonu C 16/20, včetně bednění</t>
  </si>
  <si>
    <t>27_</t>
  </si>
  <si>
    <t>SO01_2_</t>
  </si>
  <si>
    <t>štěrkopískový podklad tl. 100 mm</t>
  </si>
  <si>
    <t>45</t>
  </si>
  <si>
    <t>Podkladní a vedlejší konstrukce (kromě vozovek a železničního svršku)</t>
  </si>
  <si>
    <t>10</t>
  </si>
  <si>
    <t>451504112R00</t>
  </si>
  <si>
    <t>Zřízení lože z kameniva pod dlažbu tl. do 150 mm</t>
  </si>
  <si>
    <t>45_</t>
  </si>
  <si>
    <t>SO01_4_</t>
  </si>
  <si>
    <t>58</t>
  </si>
  <si>
    <t>Kryty pozemních komunikací, letišť a ploch z betonu a ostatních hmot</t>
  </si>
  <si>
    <t>589152006RU1</t>
  </si>
  <si>
    <t>Kryt sport. ploch z pryž. dlaždic tl. 50 mm volně</t>
  </si>
  <si>
    <t>58_</t>
  </si>
  <si>
    <t>SO01_5_</t>
  </si>
  <si>
    <t>bez dodávky dlaždic - zatravňovací dlažba, kotveno trny</t>
  </si>
  <si>
    <t>volně položen</t>
  </si>
  <si>
    <t>0031230</t>
  </si>
  <si>
    <t>Dopadová plocha zatravňovací pryž</t>
  </si>
  <si>
    <t>RTS I / 2021</t>
  </si>
  <si>
    <t>158*</t>
  </si>
  <si>
    <t>;ztratné 15%; 23,7</t>
  </si>
  <si>
    <t>59</t>
  </si>
  <si>
    <t>Kryty pozemních komunikací, letišť a ploch dlážděných (předlažby)</t>
  </si>
  <si>
    <t>13</t>
  </si>
  <si>
    <t>594611111RT2</t>
  </si>
  <si>
    <t>Dlažba z lomového kamene,lože štěrkopís.do 5 cm</t>
  </si>
  <si>
    <t>59_</t>
  </si>
  <si>
    <t>tloušťky 200 mm, tř. 1, včetně dodávky kamene</t>
  </si>
  <si>
    <t>14</t>
  </si>
  <si>
    <t>596911112R00</t>
  </si>
  <si>
    <t>Kladení šlapáků do lože na svahu 1 : 2</t>
  </si>
  <si>
    <t>15</t>
  </si>
  <si>
    <t>583841852</t>
  </si>
  <si>
    <t>Šlapák žulový štípaný, nepravidelný 300 až 900 mm, tl. 20 až 40 mm</t>
  </si>
  <si>
    <t>Přírodní žula nebo rula - šlapák  Nepravidelný tvar, rozměr 30 až 90 cm tloušťka 20 - 40 mm  povrch štípaný barva béžová</t>
  </si>
  <si>
    <t>91</t>
  </si>
  <si>
    <t>Doplňující konstrukce a práce na pozemních komunikacích a zpevněných plochách</t>
  </si>
  <si>
    <t>16</t>
  </si>
  <si>
    <t>916581112R00</t>
  </si>
  <si>
    <t>Osazení plast. zahradního obrubníku zapuštěného</t>
  </si>
  <si>
    <t>m</t>
  </si>
  <si>
    <t>91_</t>
  </si>
  <si>
    <t>SO01_9_</t>
  </si>
  <si>
    <t>osazení obrub z ocelové pásoviny</t>
  </si>
  <si>
    <t>Položka obsahuje výkop rýhy, osazení obrubníhu, připevnění do podkladu hřeby a přihrnutí zeminy. Dodávka obrubníku se oceňuje ve specifikaci</t>
  </si>
  <si>
    <t>17</t>
  </si>
  <si>
    <t>13211252</t>
  </si>
  <si>
    <t>Tyč ocelová kruhová S235JR, průměr 15 mm</t>
  </si>
  <si>
    <t>t</t>
  </si>
  <si>
    <t>0,0014*20</t>
  </si>
  <si>
    <t xml:space="preserve">hmotnost 1,39 kg/m minimální množství 6 </t>
  </si>
  <si>
    <t>135111_210</t>
  </si>
  <si>
    <t>Ocelová obruba- ocelová pásovina, 100 x 6 mm, v úrovni terénu</t>
  </si>
  <si>
    <t>bm</t>
  </si>
  <si>
    <t>RTS I / 2022</t>
  </si>
  <si>
    <t>MOBILIÁŘ A HERNÍ PRVKY</t>
  </si>
  <si>
    <t>SO03</t>
  </si>
  <si>
    <t>19</t>
  </si>
  <si>
    <t>SO03_1_</t>
  </si>
  <si>
    <t>SO03_</t>
  </si>
  <si>
    <t>93</t>
  </si>
  <si>
    <t>Různé dokončovací konstrukce a práce inženýrských staveb</t>
  </si>
  <si>
    <t>20</t>
  </si>
  <si>
    <t>936124112R00</t>
  </si>
  <si>
    <t>Zřízení lavice stabilní se zabetonováním noh</t>
  </si>
  <si>
    <t>kus</t>
  </si>
  <si>
    <t>93_</t>
  </si>
  <si>
    <t>SO03_9_</t>
  </si>
  <si>
    <t>montáž mobiliáře</t>
  </si>
  <si>
    <t>21</t>
  </si>
  <si>
    <t>749004</t>
  </si>
  <si>
    <t>Stůl, 120 cm, kombinace latě a prkna, akát lazura+ocel, barva antracit 7016, design viz specifikace v PD</t>
  </si>
  <si>
    <t>ks</t>
  </si>
  <si>
    <t>22</t>
  </si>
  <si>
    <t>0102004</t>
  </si>
  <si>
    <t>Kotevní patka pro odpadkový koš k zabetonování M12x330 mm</t>
  </si>
  <si>
    <t>23</t>
  </si>
  <si>
    <t>010004</t>
  </si>
  <si>
    <t>Odpadkový koš s víkem, celokovový, RAL 7016, dle specifikace v PD</t>
  </si>
  <si>
    <t>24</t>
  </si>
  <si>
    <t>010002</t>
  </si>
  <si>
    <t>Lavička s dřevěnými latěmi a prkny, akát,bez opěrky a područek. kostra RAL 7016</t>
  </si>
  <si>
    <t>25</t>
  </si>
  <si>
    <t>749001</t>
  </si>
  <si>
    <t>Lavička s opěradlem a područkami, 120 cm, kombinace latě a prkna, akát lazura+ocel, barva antracit7016, design viz specifikace v PD</t>
  </si>
  <si>
    <t>RTS II / 2022</t>
  </si>
  <si>
    <t>002VD</t>
  </si>
  <si>
    <t>Herní prkvy</t>
  </si>
  <si>
    <t>26</t>
  </si>
  <si>
    <t>002106</t>
  </si>
  <si>
    <t>HP 01 Pružinové houpadlo</t>
  </si>
  <si>
    <t>kpl</t>
  </si>
  <si>
    <t>002VD_</t>
  </si>
  <si>
    <t>SO03_0_</t>
  </si>
  <si>
    <t>dodávka + montáž</t>
  </si>
  <si>
    <t>00200005</t>
  </si>
  <si>
    <t>HP 03 houpačka hnízdo</t>
  </si>
  <si>
    <t>dodávka + monáž</t>
  </si>
  <si>
    <t>28</t>
  </si>
  <si>
    <t>002108</t>
  </si>
  <si>
    <t>HP 02 Herní sestava  pro malé děti od 1,5 roku</t>
  </si>
  <si>
    <t>29</t>
  </si>
  <si>
    <t>0020001</t>
  </si>
  <si>
    <t>F01 Workoutový prvek dle PD - dodávka + montáž</t>
  </si>
  <si>
    <t>Akát</t>
  </si>
  <si>
    <t>30</t>
  </si>
  <si>
    <t>0020002</t>
  </si>
  <si>
    <t>f02 Čtvercová hrazda dle PD - dodávka + montáž</t>
  </si>
  <si>
    <t>akát</t>
  </si>
  <si>
    <t>VEGETAČNÍ ÚPRAVY</t>
  </si>
  <si>
    <t>001VD</t>
  </si>
  <si>
    <t>Řez dřevin</t>
  </si>
  <si>
    <t>SO04</t>
  </si>
  <si>
    <t>31</t>
  </si>
  <si>
    <t>0012</t>
  </si>
  <si>
    <t>Zdravotní řez plocha stromu &lt; 50 m?</t>
  </si>
  <si>
    <t>RTS I / 2020</t>
  </si>
  <si>
    <t>001VD_</t>
  </si>
  <si>
    <t>SO04_0_</t>
  </si>
  <si>
    <t>SO04_</t>
  </si>
  <si>
    <t>Zdravotní řez - včetně rozřezání, vodorovného přemístění na místo likvidace či odvozu, lze použít i na samotné odstraňování (ořez) jmelí		
včetně rozřezání, vodorovného přemístění na místo likvidace či odvozu, lze použít i na samotné odstraňování (ořez) jmelí</t>
  </si>
  <si>
    <t>32</t>
  </si>
  <si>
    <t>0016</t>
  </si>
  <si>
    <t>Zdravotní řez plocha stromu 301 - 400 m2</t>
  </si>
  <si>
    <t xml:space="preserve"> - včetně rozřezání, vodorovného přemístění na místo likvidace či odvozu, lze použít i na samotné odstraňování (ořez) jmelí</t>
  </si>
  <si>
    <t>33</t>
  </si>
  <si>
    <t>184807111R00</t>
  </si>
  <si>
    <t>Ochrana stromu bedněním - zřízení</t>
  </si>
  <si>
    <t>SO04_1_</t>
  </si>
  <si>
    <t>34</t>
  </si>
  <si>
    <t>184807112R00</t>
  </si>
  <si>
    <t>Ochrana stromu bedněním - odstranění</t>
  </si>
  <si>
    <t>35</t>
  </si>
  <si>
    <t>182001131R00</t>
  </si>
  <si>
    <t>Plošná úprava terénu, nerovnosti do 20 cm v rovině</t>
  </si>
  <si>
    <t>36</t>
  </si>
  <si>
    <t>182001132R00</t>
  </si>
  <si>
    <t>Plošná úprava terénu, nerovnosti do 20 cm svah 1:2</t>
  </si>
  <si>
    <t>37</t>
  </si>
  <si>
    <t>184802111R00</t>
  </si>
  <si>
    <t>Chem. odplevelení před založ. postřikem, v rovině</t>
  </si>
  <si>
    <t>včetně postř. látky - 2 opakování</t>
  </si>
  <si>
    <t>38</t>
  </si>
  <si>
    <t>184802211R00</t>
  </si>
  <si>
    <t>Chem. odplevelení před založ. postřikem, svah 1:2</t>
  </si>
  <si>
    <t>2 opakování, včetně materiálu</t>
  </si>
  <si>
    <t>zeleň</t>
  </si>
  <si>
    <t>SO04A</t>
  </si>
  <si>
    <t>39</t>
  </si>
  <si>
    <t>111104211R00</t>
  </si>
  <si>
    <t>Pokosení trávníku parkov. svah do 1:5, odvoz 20 km</t>
  </si>
  <si>
    <t>SO04A_1_</t>
  </si>
  <si>
    <t>SO04A_</t>
  </si>
  <si>
    <t>2 seče navíc</t>
  </si>
  <si>
    <t>40</t>
  </si>
  <si>
    <t>183101115R00</t>
  </si>
  <si>
    <t>Hloub. jamek bez výměny půdy do 0,4 m3, svah 1:5</t>
  </si>
  <si>
    <t>41</t>
  </si>
  <si>
    <t>183101111R00</t>
  </si>
  <si>
    <t>Hloub. jamek bez výměny půdy do 0,01 m3, svah 1:5</t>
  </si>
  <si>
    <t>pokryvné a pnoucí keře</t>
  </si>
  <si>
    <t>327</t>
  </si>
  <si>
    <t>trvalky</t>
  </si>
  <si>
    <t>42</t>
  </si>
  <si>
    <t>183101112R00</t>
  </si>
  <si>
    <t>Hloub. jamek bez výměny půdy do 0,02 m3, svah 1:5</t>
  </si>
  <si>
    <t>61</t>
  </si>
  <si>
    <t>keře větší</t>
  </si>
  <si>
    <t>43</t>
  </si>
  <si>
    <t>184102117R00</t>
  </si>
  <si>
    <t>Výsadba dřevin s balem D do 1 m, v rovině</t>
  </si>
  <si>
    <t>44</t>
  </si>
  <si>
    <t>100</t>
  </si>
  <si>
    <t>Prunus avium ´Plena´ - alejový strom, ok 12-14, VNK 220, zemní bal</t>
  </si>
  <si>
    <t>I/2024</t>
  </si>
  <si>
    <t>026621167</t>
  </si>
  <si>
    <t>Aesculus hippocastanum, VK, OK 12-14, ZB</t>
  </si>
  <si>
    <t>RTS I / 2024</t>
  </si>
  <si>
    <t>46</t>
  </si>
  <si>
    <t>0265600322</t>
  </si>
  <si>
    <t>Acer platanoides, VK 12-14</t>
  </si>
  <si>
    <t>47</t>
  </si>
  <si>
    <t>184102121R00</t>
  </si>
  <si>
    <t>Výsadba dřevin s balem D do 20 cm, na svahu 1:2</t>
  </si>
  <si>
    <t>48</t>
  </si>
  <si>
    <t>026621321</t>
  </si>
  <si>
    <t>keře větší - viz seznam v PD</t>
  </si>
  <si>
    <t>49</t>
  </si>
  <si>
    <t>184102110R00</t>
  </si>
  <si>
    <t>Výsadba dřevin s balem D do 10 cm, v rovině</t>
  </si>
  <si>
    <t>50</t>
  </si>
  <si>
    <t>02652262</t>
  </si>
  <si>
    <t>Malé keře a popínavky</t>
  </si>
  <si>
    <t>51</t>
  </si>
  <si>
    <t>183204116R00</t>
  </si>
  <si>
    <t>Výsadba květin hrnkovaných, květináč do 25 cm</t>
  </si>
  <si>
    <t>52</t>
  </si>
  <si>
    <t>026100055</t>
  </si>
  <si>
    <t>Trvalky - viz seznam v PD - průměrná cena</t>
  </si>
  <si>
    <t>53</t>
  </si>
  <si>
    <t>184921093R00</t>
  </si>
  <si>
    <t>Mulčování rostlin tl. do 0,1 m rovina</t>
  </si>
  <si>
    <t>54</t>
  </si>
  <si>
    <t>184921094R00</t>
  </si>
  <si>
    <t>Mulčování rostlin tl. do 0,1 m, svah do 1:2</t>
  </si>
  <si>
    <t>105</t>
  </si>
  <si>
    <t>keře svah</t>
  </si>
  <si>
    <t>stromová mísa samostatná</t>
  </si>
  <si>
    <t>55</t>
  </si>
  <si>
    <t>10391100</t>
  </si>
  <si>
    <t>Kůra mulčovací VL</t>
  </si>
  <si>
    <t>(106+1+52)*0,1</t>
  </si>
  <si>
    <t>;ztratné 2%; 0,318</t>
  </si>
  <si>
    <t>56</t>
  </si>
  <si>
    <t>184901111R00</t>
  </si>
  <si>
    <t>Osazení kůlů k dřevině s uvázáním, dl. kůlů do 2 m</t>
  </si>
  <si>
    <t>6*3</t>
  </si>
  <si>
    <t>57</t>
  </si>
  <si>
    <t>184813161</t>
  </si>
  <si>
    <t>Zřízení ochranného nátěru kmene stromu do výšky 1 m obvodu do 180 mm</t>
  </si>
  <si>
    <t>URS2023</t>
  </si>
  <si>
    <t>251100</t>
  </si>
  <si>
    <t>Ochranný nátěr dřevin - podkladový nátěr - 0.5l/strom</t>
  </si>
  <si>
    <t>l</t>
  </si>
  <si>
    <t>251101</t>
  </si>
  <si>
    <t>Ochranný nátěr kmene dřevin - svrchní nátěr (trvanlivost min. 5 let), bal. 5 kg - 1 kg/1m2</t>
  </si>
  <si>
    <t>bal</t>
  </si>
  <si>
    <t>6*0,15*2/5</t>
  </si>
  <si>
    <t>60</t>
  </si>
  <si>
    <t>substrát</t>
  </si>
  <si>
    <t>10371500</t>
  </si>
  <si>
    <t>Substrát zahradnický B VL</t>
  </si>
  <si>
    <t>170*0,08</t>
  </si>
  <si>
    <t>;ztratné 5%; 0,68</t>
  </si>
  <si>
    <t>62</t>
  </si>
  <si>
    <t>185802114R00</t>
  </si>
  <si>
    <t>Hnojení umělým hnojivem k rostlinám v rovině</t>
  </si>
  <si>
    <t>6*0,001</t>
  </si>
  <si>
    <t>stromy</t>
  </si>
  <si>
    <t>61*0,002</t>
  </si>
  <si>
    <t>velké keře</t>
  </si>
  <si>
    <t>93*0,0002</t>
  </si>
  <si>
    <t>střední keře</t>
  </si>
  <si>
    <t>63</t>
  </si>
  <si>
    <t>185804311R00</t>
  </si>
  <si>
    <t>Zalití rostlin vodou plochy do 20 m2</t>
  </si>
  <si>
    <t>zalití při výsadbě, včetně vody</t>
  </si>
  <si>
    <t>6*0,1</t>
  </si>
  <si>
    <t>93*0,05</t>
  </si>
  <si>
    <t>keře malé</t>
  </si>
  <si>
    <t>61*0,1</t>
  </si>
  <si>
    <t>keře velké</t>
  </si>
  <si>
    <t>327*0,02</t>
  </si>
  <si>
    <t>64</t>
  </si>
  <si>
    <t>185851111R00</t>
  </si>
  <si>
    <t>Dovoz vody pro zálivku rostlin do 6 km</t>
  </si>
  <si>
    <t>65</t>
  </si>
  <si>
    <t>6*0,1*12</t>
  </si>
  <si>
    <t>stromy 1. rok</t>
  </si>
  <si>
    <t>6*0,1*8</t>
  </si>
  <si>
    <t>stromy 2. rok</t>
  </si>
  <si>
    <t>93*0,05*8</t>
  </si>
  <si>
    <t>keře malé 1. rok</t>
  </si>
  <si>
    <t>93*0,05*4</t>
  </si>
  <si>
    <t>keře malé 2. rok</t>
  </si>
  <si>
    <t>61*0,1*8</t>
  </si>
  <si>
    <t>keře velké 1. rok</t>
  </si>
  <si>
    <t>61*0,1*4</t>
  </si>
  <si>
    <t>keře velké 2. rok</t>
  </si>
  <si>
    <t>327*0,02*4</t>
  </si>
  <si>
    <t>trvalky 1. rok</t>
  </si>
  <si>
    <t>327*0,02*2</t>
  </si>
  <si>
    <t>trvalky 2. rok</t>
  </si>
  <si>
    <t>66</t>
  </si>
  <si>
    <t>67</t>
  </si>
  <si>
    <t>185804234R00</t>
  </si>
  <si>
    <t>Vypletí dřevin ve skupinách na svahu 1:2</t>
  </si>
  <si>
    <t>105*4</t>
  </si>
  <si>
    <t>keře 1. rok</t>
  </si>
  <si>
    <t>105*3</t>
  </si>
  <si>
    <t>keře 2. rok</t>
  </si>
  <si>
    <t>68</t>
  </si>
  <si>
    <t>185804211R00</t>
  </si>
  <si>
    <t>Vypletí záhonu květin v rovině</t>
  </si>
  <si>
    <t>52*4</t>
  </si>
  <si>
    <t>52*3</t>
  </si>
  <si>
    <t>69</t>
  </si>
  <si>
    <t>185804111R00</t>
  </si>
  <si>
    <t>Ošetření vysázených květin v rovině</t>
  </si>
  <si>
    <t>1. rok</t>
  </si>
  <si>
    <t>2. rok</t>
  </si>
  <si>
    <t>70</t>
  </si>
  <si>
    <t>184202111R01</t>
  </si>
  <si>
    <t>Kontrola a oprava kotvení</t>
  </si>
  <si>
    <t>71</t>
  </si>
  <si>
    <t>70836130.A</t>
  </si>
  <si>
    <t>Popruh vícevrstvý polyester/bavlna šíře 30 mm</t>
  </si>
  <si>
    <t>6*0,7*3</t>
  </si>
  <si>
    <t>72</t>
  </si>
  <si>
    <t>60850011</t>
  </si>
  <si>
    <t>Kůl vyvazovací impregnovaný 200 x 6 cm</t>
  </si>
  <si>
    <t>73</t>
  </si>
  <si>
    <t>608500305</t>
  </si>
  <si>
    <t>Příčka spojovací ke kůlům 50 x 6 cm</t>
  </si>
  <si>
    <t>3*6</t>
  </si>
  <si>
    <t>74</t>
  </si>
  <si>
    <t>10391505.A</t>
  </si>
  <si>
    <t>Kondicionér fyzikální půdní</t>
  </si>
  <si>
    <t>kg</t>
  </si>
  <si>
    <t>6*1</t>
  </si>
  <si>
    <t>0,2*61</t>
  </si>
  <si>
    <t>0.02*93</t>
  </si>
  <si>
    <t>keře střední</t>
  </si>
  <si>
    <t>75</t>
  </si>
  <si>
    <t>180400020RA0</t>
  </si>
  <si>
    <t>Založení trávníku parkového v rovině s dodáním osiva</t>
  </si>
  <si>
    <t>Založení trávníku v rovině nebo ve svahu  do 1 : 5, doporučená spotřeba 3 dkg/m2. V položce jsou zakalkulovány náklady na první pokosení, naložení odpadu a odvezení do 20 km, se složením. V položce nejsou zakalkulovány náklady na vypletí a zalévání</t>
  </si>
  <si>
    <t>711</t>
  </si>
  <si>
    <t>Izolace proti vodě</t>
  </si>
  <si>
    <t>76</t>
  </si>
  <si>
    <t>711823121R00</t>
  </si>
  <si>
    <t>Montáž nopové fólie svisle</t>
  </si>
  <si>
    <t>711_</t>
  </si>
  <si>
    <t>SO04A_71_</t>
  </si>
  <si>
    <t>instalace zálivkového lemu</t>
  </si>
  <si>
    <t>6*0,25*1,5</t>
  </si>
  <si>
    <t>77</t>
  </si>
  <si>
    <t>10056</t>
  </si>
  <si>
    <t>Spojka lemu - Speciální spona určena pro spojení konců zavlažovacího lemu</t>
  </si>
  <si>
    <t>78</t>
  </si>
  <si>
    <t>10055</t>
  </si>
  <si>
    <t>Závlahový lem -  3mm širokého speciálního plastu LDPE, který je odolný vůči tlaku vody</t>
  </si>
  <si>
    <t>1,5*6</t>
  </si>
  <si>
    <t>79</t>
  </si>
  <si>
    <t>998231311R00</t>
  </si>
  <si>
    <t>Přesun hmot pro sadovnické a krajin. úpravy do 5km</t>
  </si>
  <si>
    <t>Vedlejší a ostatní náklady</t>
  </si>
  <si>
    <t>VORN</t>
  </si>
  <si>
    <t>Vedlejší a ostatní rozpočtové náklady</t>
  </si>
  <si>
    <t>01VRN</t>
  </si>
  <si>
    <t>Průzkumy, geodetické a projektové práce</t>
  </si>
  <si>
    <t>80</t>
  </si>
  <si>
    <t>013002VRN</t>
  </si>
  <si>
    <t>Projektové práce - dokumentace skutečného provedení stavby</t>
  </si>
  <si>
    <t>Soubor</t>
  </si>
  <si>
    <t>99</t>
  </si>
  <si>
    <t>01VRN_</t>
  </si>
  <si>
    <t>VORN_Â _</t>
  </si>
  <si>
    <t>VORN_</t>
  </si>
  <si>
    <t>81</t>
  </si>
  <si>
    <t>012002VRN</t>
  </si>
  <si>
    <t>Geodetické práce - zaměření skutečného provedení</t>
  </si>
  <si>
    <t>82</t>
  </si>
  <si>
    <t>Geodetické práce - vytýčení stavby</t>
  </si>
  <si>
    <t>83</t>
  </si>
  <si>
    <t>Geodetické práce - vytyčení inženýrských stítí správci jednotlivých sítí</t>
  </si>
  <si>
    <t>03VRN</t>
  </si>
  <si>
    <t>Zařízení staveniště</t>
  </si>
  <si>
    <t>84</t>
  </si>
  <si>
    <t>030001VRN</t>
  </si>
  <si>
    <t>Zařízení staveniště - včetně odstranění (oplocení staveniště, mobilní WC)</t>
  </si>
  <si>
    <t>03VRN_</t>
  </si>
  <si>
    <t>09VRN</t>
  </si>
  <si>
    <t>Ostatní náklady</t>
  </si>
  <si>
    <t>85</t>
  </si>
  <si>
    <t>090001VRN</t>
  </si>
  <si>
    <t>Ostatní náklady - informační plachta 1,5x1 m po dobu stavby</t>
  </si>
  <si>
    <t>09VRN_</t>
  </si>
  <si>
    <t>Celkem:</t>
  </si>
  <si>
    <t>Poznámka:</t>
  </si>
  <si>
    <t>Krycí list slepého rozpočtu</t>
  </si>
  <si>
    <t>IČO/DIČ:</t>
  </si>
  <si>
    <t>00281859/</t>
  </si>
  <si>
    <t>09080988/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</si>
  <si>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</si>
  <si>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</si>
  <si>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</si>
  <si>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</si>
  <si>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</si>
  <si>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</si>
  <si>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</si>
  <si>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</si>
  <si>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</si>
  <si>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</si>
  <si>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</si>
  <si>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</si>
  <si>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</si>
  <si>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</si>
  <si>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</si>
  <si>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</si>
  <si>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</si>
  <si>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</si>
  <si>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</si>
  <si>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</si>
  <si>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</si>
  <si>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</si>
  <si>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</si>
  <si>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</si>
  <si>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</si>
  <si>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</si>
  <si>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</si>
  <si>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</si>
  <si>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</si>
  <si>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</si>
  <si>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</si>
  <si>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</si>
  <si>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</si>
  <si>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</si>
  <si>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</si>
  <si>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</si>
  <si>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</si>
  <si>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</si>
  <si>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</si>
  <si>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</si>
  <si>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</si>
  <si>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</si>
  <si>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</si>
  <si>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</si>
  <si>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</si>
  <si>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</si>
  <si>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</si>
  <si>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</si>
  <si>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</si>
  <si>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</si>
  <si>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</si>
  <si>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</si>
  <si>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</si>
  <si>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</si>
  <si>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</si>
  <si>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Vlastní VORN</t>
  </si>
  <si>
    <t>Celkem VORN</t>
  </si>
  <si>
    <t>odkopávky v prostoru budoucí laguny a rozprostření zeminy v ploše rekreační louky, objem cca 150m3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</si>
</sst>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8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rgb="FFCCFFFF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4" borderId="29" xfId="0" applyFont="1" applyFill="1" applyBorder="1" applyAlignment="1" applyProtection="1">
      <alignment horizontal="left" vertical="center"/>
      <protection locked="0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4" borderId="0" xfId="0" applyFont="1" applyFill="1" applyAlignment="1" applyProtection="1">
      <alignment horizontal="left" vertical="center"/>
      <protection locked="0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4" fontId="3" fillId="0" borderId="32" xfId="0" applyNumberFormat="1" applyFont="1" applyBorder="1" applyAlignment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  <protection locked="0"/>
    </xf>
    <xf numFmtId="0" fontId="3" fillId="0" borderId="33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10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4" fontId="11" fillId="0" borderId="41" xfId="0" applyNumberFormat="1" applyFont="1" applyBorder="1" applyAlignment="1">
      <alignment horizontal="right" vertical="center"/>
    </xf>
    <xf numFmtId="0" fontId="11" fillId="0" borderId="41" xfId="0" applyFont="1" applyBorder="1" applyAlignment="1">
      <alignment horizontal="right" vertical="center"/>
    </xf>
    <xf numFmtId="0" fontId="10" fillId="0" borderId="44" xfId="0" applyFont="1" applyBorder="1" applyAlignment="1">
      <alignment horizontal="left" vertical="center"/>
    </xf>
    <xf numFmtId="4" fontId="11" fillId="0" borderId="48" xfId="0" applyNumberFormat="1" applyFont="1" applyBorder="1" applyAlignment="1">
      <alignment horizontal="right" vertical="center"/>
    </xf>
    <xf numFmtId="0" fontId="11" fillId="0" borderId="48" xfId="0" applyFont="1" applyBorder="1" applyAlignment="1">
      <alignment horizontal="right" vertical="center"/>
    </xf>
    <xf numFmtId="4" fontId="11" fillId="0" borderId="39" xfId="0" applyNumberFormat="1" applyFont="1" applyBorder="1" applyAlignment="1">
      <alignment horizontal="right" vertical="center"/>
    </xf>
    <xf numFmtId="4" fontId="11" fillId="0" borderId="25" xfId="0" applyNumberFormat="1" applyFont="1" applyBorder="1" applyAlignment="1">
      <alignment horizontal="right" vertical="center"/>
    </xf>
    <xf numFmtId="4" fontId="10" fillId="2" borderId="38" xfId="0" applyNumberFormat="1" applyFont="1" applyFill="1" applyBorder="1" applyAlignment="1">
      <alignment horizontal="right" vertical="center"/>
    </xf>
    <xf numFmtId="4" fontId="10" fillId="2" borderId="43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2" fillId="0" borderId="64" xfId="0" applyFont="1" applyBorder="1" applyAlignment="1">
      <alignment horizontal="right" vertical="center"/>
    </xf>
    <xf numFmtId="4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left" vertical="center"/>
    </xf>
    <xf numFmtId="4" fontId="3" fillId="0" borderId="68" xfId="0" applyNumberFormat="1" applyFont="1" applyBorder="1" applyAlignment="1">
      <alignment horizontal="right" vertical="center"/>
    </xf>
    <xf numFmtId="0" fontId="3" fillId="0" borderId="68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2" fillId="0" borderId="72" xfId="0" applyFont="1" applyBorder="1" applyAlignment="1">
      <alignment horizontal="right" vertical="center"/>
    </xf>
    <xf numFmtId="4" fontId="2" fillId="0" borderId="72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54" xfId="0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0" borderId="59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63" xfId="0" applyFont="1" applyBorder="1" applyAlignment="1">
      <alignment horizontal="left" vertical="center"/>
    </xf>
    <xf numFmtId="0" fontId="11" fillId="0" borderId="61" xfId="0" applyFont="1" applyBorder="1" applyAlignment="1">
      <alignment horizontal="left" vertical="center"/>
    </xf>
    <xf numFmtId="0" fontId="11" fillId="0" borderId="62" xfId="0" applyFont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1" fillId="0" borderId="60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2" borderId="50" xfId="0" applyFont="1" applyFill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left" vertical="center"/>
    </xf>
    <xf numFmtId="0" fontId="10" fillId="2" borderId="52" xfId="0" applyFont="1" applyFill="1" applyBorder="1" applyAlignment="1">
      <alignment horizontal="left" vertical="center"/>
    </xf>
    <xf numFmtId="0" fontId="10" fillId="2" borderId="37" xfId="0" applyFont="1" applyFill="1" applyBorder="1" applyAlignment="1">
      <alignment horizontal="left" vertical="center"/>
    </xf>
    <xf numFmtId="0" fontId="10" fillId="2" borderId="42" xfId="0" applyFont="1" applyFill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1" fillId="0" borderId="49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70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4" fontId="10" fillId="0" borderId="73" xfId="0" applyNumberFormat="1" applyFont="1" applyBorder="1" applyAlignment="1">
      <alignment horizontal="right" vertical="center"/>
    </xf>
    <xf numFmtId="0" fontId="10" fillId="0" borderId="70" xfId="0" applyFont="1" applyBorder="1" applyAlignment="1">
      <alignment horizontal="right" vertical="center"/>
    </xf>
    <xf numFmtId="0" fontId="10" fillId="0" borderId="71" xfId="0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202"/>
  <sheetViews>
    <sheetView tabSelected="1" workbookViewId="0">
      <pane ySplit="11" topLeftCell="A189" activePane="bottomLeft" state="frozen"/>
      <selection pane="bottomLeft" activeCell="K164" sqref="K164"/>
    </sheetView>
  </sheetViews>
  <sheetFormatPr defaultColWidth="12.109375" defaultRowHeight="15" customHeight="1" x14ac:dyDescent="0.3"/>
  <cols>
    <col min="1" max="1" width="4" customWidth="1"/>
    <col min="2" max="2" width="17.88671875" customWidth="1"/>
    <col min="3" max="3" width="42.88671875" customWidth="1"/>
    <col min="4" max="4" width="35.6640625" customWidth="1"/>
    <col min="5" max="5" width="8.44140625" customWidth="1"/>
    <col min="6" max="6" width="12.88671875" customWidth="1"/>
    <col min="7" max="7" width="12" customWidth="1"/>
    <col min="8" max="10" width="15.6640625" customWidth="1"/>
    <col min="11" max="11" width="14.6640625" customWidth="1"/>
    <col min="25" max="75" width="12.109375" hidden="1"/>
    <col min="76" max="76" width="78.5546875" hidden="1" customWidth="1"/>
    <col min="77" max="78" width="12.109375" hidden="1"/>
  </cols>
  <sheetData>
    <row r="1" spans="1:76" ht="54.75" customHeight="1" x14ac:dyDescent="0.3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4" x14ac:dyDescent="0.3">
      <c r="A2" s="105" t="s">
        <v>1</v>
      </c>
      <c r="B2" s="92"/>
      <c r="C2" s="109" t="s">
        <v>2</v>
      </c>
      <c r="D2" s="110"/>
      <c r="E2" s="92" t="s">
        <v>3</v>
      </c>
      <c r="F2" s="92"/>
      <c r="G2" s="103" t="s">
        <v>4</v>
      </c>
      <c r="H2" s="91" t="s">
        <v>5</v>
      </c>
      <c r="I2" s="91" t="s">
        <v>6</v>
      </c>
      <c r="J2" s="92"/>
      <c r="K2" s="93"/>
    </row>
    <row r="3" spans="1:76" ht="14.4" x14ac:dyDescent="0.3">
      <c r="A3" s="106"/>
      <c r="B3" s="71"/>
      <c r="C3" s="111"/>
      <c r="D3" s="111"/>
      <c r="E3" s="71"/>
      <c r="F3" s="71"/>
      <c r="G3" s="95"/>
      <c r="H3" s="71"/>
      <c r="I3" s="71"/>
      <c r="J3" s="71"/>
      <c r="K3" s="94"/>
    </row>
    <row r="4" spans="1:76" ht="14.4" x14ac:dyDescent="0.3">
      <c r="A4" s="107" t="s">
        <v>7</v>
      </c>
      <c r="B4" s="71"/>
      <c r="C4" s="70" t="s">
        <v>8</v>
      </c>
      <c r="D4" s="71"/>
      <c r="E4" s="71" t="s">
        <v>9</v>
      </c>
      <c r="F4" s="71"/>
      <c r="G4" s="95" t="s">
        <v>10</v>
      </c>
      <c r="H4" s="70" t="s">
        <v>11</v>
      </c>
      <c r="I4" s="70" t="s">
        <v>12</v>
      </c>
      <c r="J4" s="71"/>
      <c r="K4" s="94"/>
    </row>
    <row r="5" spans="1:76" ht="14.4" x14ac:dyDescent="0.3">
      <c r="A5" s="106"/>
      <c r="B5" s="71"/>
      <c r="C5" s="71"/>
      <c r="D5" s="71"/>
      <c r="E5" s="71"/>
      <c r="F5" s="71"/>
      <c r="G5" s="95"/>
      <c r="H5" s="71"/>
      <c r="I5" s="71"/>
      <c r="J5" s="71"/>
      <c r="K5" s="94"/>
    </row>
    <row r="6" spans="1:76" ht="14.4" x14ac:dyDescent="0.3">
      <c r="A6" s="107" t="s">
        <v>13</v>
      </c>
      <c r="B6" s="71"/>
      <c r="C6" s="70" t="s">
        <v>14</v>
      </c>
      <c r="D6" s="71"/>
      <c r="E6" s="71" t="s">
        <v>15</v>
      </c>
      <c r="F6" s="71"/>
      <c r="G6" s="95" t="s">
        <v>4</v>
      </c>
      <c r="H6" s="70" t="s">
        <v>16</v>
      </c>
      <c r="I6" s="95" t="s">
        <v>17</v>
      </c>
      <c r="J6" s="95"/>
      <c r="K6" s="96"/>
    </row>
    <row r="7" spans="1:76" ht="14.4" x14ac:dyDescent="0.3">
      <c r="A7" s="106"/>
      <c r="B7" s="71"/>
      <c r="C7" s="71"/>
      <c r="D7" s="71"/>
      <c r="E7" s="71"/>
      <c r="F7" s="71"/>
      <c r="G7" s="95"/>
      <c r="H7" s="71"/>
      <c r="I7" s="95"/>
      <c r="J7" s="95"/>
      <c r="K7" s="96"/>
    </row>
    <row r="8" spans="1:76" ht="14.4" x14ac:dyDescent="0.3">
      <c r="A8" s="107" t="s">
        <v>18</v>
      </c>
      <c r="B8" s="71"/>
      <c r="C8" s="70" t="s">
        <v>19</v>
      </c>
      <c r="D8" s="71"/>
      <c r="E8" s="71" t="s">
        <v>20</v>
      </c>
      <c r="F8" s="71"/>
      <c r="G8" s="95" t="s">
        <v>10</v>
      </c>
      <c r="H8" s="70" t="s">
        <v>21</v>
      </c>
      <c r="I8" s="97" t="s">
        <v>22</v>
      </c>
      <c r="J8" s="95"/>
      <c r="K8" s="96"/>
    </row>
    <row r="9" spans="1:76" ht="14.4" x14ac:dyDescent="0.3">
      <c r="A9" s="108"/>
      <c r="B9" s="102"/>
      <c r="C9" s="102"/>
      <c r="D9" s="102"/>
      <c r="E9" s="102"/>
      <c r="F9" s="102"/>
      <c r="G9" s="98"/>
      <c r="H9" s="102"/>
      <c r="I9" s="98"/>
      <c r="J9" s="98"/>
      <c r="K9" s="99"/>
    </row>
    <row r="10" spans="1:76" ht="14.4" x14ac:dyDescent="0.3">
      <c r="A10" s="5" t="s">
        <v>23</v>
      </c>
      <c r="B10" s="6" t="s">
        <v>24</v>
      </c>
      <c r="C10" s="100" t="s">
        <v>25</v>
      </c>
      <c r="D10" s="101"/>
      <c r="E10" s="6" t="s">
        <v>26</v>
      </c>
      <c r="F10" s="7" t="s">
        <v>27</v>
      </c>
      <c r="G10" s="8" t="s">
        <v>28</v>
      </c>
      <c r="H10" s="86" t="s">
        <v>29</v>
      </c>
      <c r="I10" s="87"/>
      <c r="J10" s="88"/>
      <c r="K10" s="9" t="s">
        <v>30</v>
      </c>
      <c r="BK10" s="10" t="s">
        <v>31</v>
      </c>
      <c r="BL10" s="11" t="s">
        <v>32</v>
      </c>
      <c r="BW10" s="11" t="s">
        <v>33</v>
      </c>
    </row>
    <row r="11" spans="1:76" ht="14.4" x14ac:dyDescent="0.3">
      <c r="A11" s="12" t="s">
        <v>4</v>
      </c>
      <c r="B11" s="13" t="s">
        <v>4</v>
      </c>
      <c r="C11" s="84" t="s">
        <v>34</v>
      </c>
      <c r="D11" s="85"/>
      <c r="E11" s="13" t="s">
        <v>4</v>
      </c>
      <c r="F11" s="13" t="s">
        <v>4</v>
      </c>
      <c r="G11" s="14" t="s">
        <v>35</v>
      </c>
      <c r="H11" s="15" t="s">
        <v>36</v>
      </c>
      <c r="I11" s="16" t="s">
        <v>37</v>
      </c>
      <c r="J11" s="17" t="s">
        <v>38</v>
      </c>
      <c r="K11" s="18" t="s">
        <v>39</v>
      </c>
      <c r="Z11" s="10" t="s">
        <v>40</v>
      </c>
      <c r="AA11" s="10" t="s">
        <v>41</v>
      </c>
      <c r="AB11" s="10" t="s">
        <v>42</v>
      </c>
      <c r="AC11" s="10" t="s">
        <v>43</v>
      </c>
      <c r="AD11" s="10" t="s">
        <v>44</v>
      </c>
      <c r="AE11" s="10" t="s">
        <v>45</v>
      </c>
      <c r="AF11" s="10" t="s">
        <v>46</v>
      </c>
      <c r="AG11" s="10" t="s">
        <v>47</v>
      </c>
      <c r="AH11" s="10" t="s">
        <v>48</v>
      </c>
      <c r="BH11" s="10" t="s">
        <v>49</v>
      </c>
      <c r="BI11" s="10" t="s">
        <v>50</v>
      </c>
      <c r="BJ11" s="10" t="s">
        <v>51</v>
      </c>
    </row>
    <row r="12" spans="1:76" ht="14.4" x14ac:dyDescent="0.3">
      <c r="A12" s="19" t="s">
        <v>52</v>
      </c>
      <c r="B12" s="20" t="s">
        <v>52</v>
      </c>
      <c r="C12" s="89" t="s">
        <v>53</v>
      </c>
      <c r="D12" s="90"/>
      <c r="E12" s="21" t="s">
        <v>4</v>
      </c>
      <c r="F12" s="21" t="s">
        <v>4</v>
      </c>
      <c r="G12" s="22" t="s">
        <v>4</v>
      </c>
      <c r="H12" s="23">
        <f>H13+H16+H20+H26+H33+H36+H38+H45+H51</f>
        <v>0</v>
      </c>
      <c r="I12" s="23">
        <f>I13+I16+I20+I26+I33+I36+I38+I45+I51</f>
        <v>0</v>
      </c>
      <c r="J12" s="23">
        <f>J13+J16+J20+J26+J33+J36+J38+J45+J51</f>
        <v>0</v>
      </c>
      <c r="K12" s="24" t="s">
        <v>52</v>
      </c>
    </row>
    <row r="13" spans="1:76" ht="14.4" x14ac:dyDescent="0.3">
      <c r="A13" s="25" t="s">
        <v>52</v>
      </c>
      <c r="B13" s="26" t="s">
        <v>54</v>
      </c>
      <c r="C13" s="72" t="s">
        <v>55</v>
      </c>
      <c r="D13" s="73"/>
      <c r="E13" s="27" t="s">
        <v>4</v>
      </c>
      <c r="F13" s="27" t="s">
        <v>4</v>
      </c>
      <c r="G13" s="28" t="s">
        <v>4</v>
      </c>
      <c r="H13" s="1">
        <f>SUM(H14:H14)</f>
        <v>0</v>
      </c>
      <c r="I13" s="1">
        <f>SUM(I14:I14)</f>
        <v>0</v>
      </c>
      <c r="J13" s="1">
        <f>SUM(J14:J14)</f>
        <v>0</v>
      </c>
      <c r="K13" s="29" t="s">
        <v>52</v>
      </c>
      <c r="AI13" s="10" t="s">
        <v>56</v>
      </c>
      <c r="AS13" s="1">
        <f>SUM(AJ14:AJ14)</f>
        <v>0</v>
      </c>
      <c r="AT13" s="1">
        <f>SUM(AK14:AK14)</f>
        <v>0</v>
      </c>
      <c r="AU13" s="1">
        <f>SUM(AL14:AL14)</f>
        <v>0</v>
      </c>
    </row>
    <row r="14" spans="1:76" ht="14.4" x14ac:dyDescent="0.3">
      <c r="A14" s="2" t="s">
        <v>57</v>
      </c>
      <c r="B14" s="3" t="s">
        <v>58</v>
      </c>
      <c r="C14" s="70" t="s">
        <v>59</v>
      </c>
      <c r="D14" s="71"/>
      <c r="E14" s="3" t="s">
        <v>60</v>
      </c>
      <c r="F14" s="30">
        <v>1200</v>
      </c>
      <c r="G14" s="31">
        <v>0</v>
      </c>
      <c r="H14" s="30">
        <f>ROUND(F14*AO14,2)</f>
        <v>0</v>
      </c>
      <c r="I14" s="30">
        <f>ROUND(F14*AP14,2)</f>
        <v>0</v>
      </c>
      <c r="J14" s="30">
        <f>ROUND(F14*G14,2)</f>
        <v>0</v>
      </c>
      <c r="K14" s="32" t="s">
        <v>61</v>
      </c>
      <c r="Z14" s="30">
        <f>ROUND(IF(AQ14="5",BJ14,0),2)</f>
        <v>0</v>
      </c>
      <c r="AB14" s="30">
        <f>ROUND(IF(AQ14="1",BH14,0),2)</f>
        <v>0</v>
      </c>
      <c r="AC14" s="30">
        <f>ROUND(IF(AQ14="1",BI14,0),2)</f>
        <v>0</v>
      </c>
      <c r="AD14" s="30">
        <f>ROUND(IF(AQ14="7",BH14,0),2)</f>
        <v>0</v>
      </c>
      <c r="AE14" s="30">
        <f>ROUND(IF(AQ14="7",BI14,0),2)</f>
        <v>0</v>
      </c>
      <c r="AF14" s="30">
        <f>ROUND(IF(AQ14="2",BH14,0),2)</f>
        <v>0</v>
      </c>
      <c r="AG14" s="30">
        <f>ROUND(IF(AQ14="2",BI14,0),2)</f>
        <v>0</v>
      </c>
      <c r="AH14" s="30">
        <f>ROUND(IF(AQ14="0",BJ14,0),2)</f>
        <v>0</v>
      </c>
      <c r="AI14" s="10" t="s">
        <v>56</v>
      </c>
      <c r="AJ14" s="30">
        <f>IF(AN14=0,J14,0)</f>
        <v>0</v>
      </c>
      <c r="AK14" s="30">
        <f>IF(AN14=12,J14,0)</f>
        <v>0</v>
      </c>
      <c r="AL14" s="30">
        <f>IF(AN14=21,J14,0)</f>
        <v>0</v>
      </c>
      <c r="AN14" s="30">
        <v>21</v>
      </c>
      <c r="AO14" s="30">
        <f>G14*0.636363636</f>
        <v>0</v>
      </c>
      <c r="AP14" s="30">
        <f>G14*(1-0.636363636)</f>
        <v>0</v>
      </c>
      <c r="AQ14" s="33" t="s">
        <v>57</v>
      </c>
      <c r="AV14" s="30">
        <f>ROUND(AW14+AX14,2)</f>
        <v>0</v>
      </c>
      <c r="AW14" s="30">
        <f>ROUND(F14*AO14,2)</f>
        <v>0</v>
      </c>
      <c r="AX14" s="30">
        <f>ROUND(F14*AP14,2)</f>
        <v>0</v>
      </c>
      <c r="AY14" s="33" t="s">
        <v>62</v>
      </c>
      <c r="AZ14" s="33" t="s">
        <v>63</v>
      </c>
      <c r="BA14" s="10" t="s">
        <v>64</v>
      </c>
      <c r="BC14" s="30">
        <f>AW14+AX14</f>
        <v>0</v>
      </c>
      <c r="BD14" s="30">
        <f>G14/(100-BE14)*100</f>
        <v>0</v>
      </c>
      <c r="BE14" s="30">
        <v>0</v>
      </c>
      <c r="BF14" s="30">
        <f>14</f>
        <v>14</v>
      </c>
      <c r="BH14" s="30">
        <f>F14*AO14</f>
        <v>0</v>
      </c>
      <c r="BI14" s="30">
        <f>F14*AP14</f>
        <v>0</v>
      </c>
      <c r="BJ14" s="30">
        <f>F14*G14</f>
        <v>0</v>
      </c>
      <c r="BK14" s="30"/>
      <c r="BL14" s="30"/>
      <c r="BW14" s="30">
        <v>21</v>
      </c>
      <c r="BX14" s="4" t="s">
        <v>59</v>
      </c>
    </row>
    <row r="15" spans="1:76" ht="13.5" customHeight="1" x14ac:dyDescent="0.3">
      <c r="A15" s="34"/>
      <c r="B15" s="35" t="s">
        <v>65</v>
      </c>
      <c r="C15" s="76" t="s">
        <v>66</v>
      </c>
      <c r="D15" s="77"/>
      <c r="E15" s="77"/>
      <c r="F15" s="77"/>
      <c r="G15" s="78"/>
      <c r="H15" s="77"/>
      <c r="I15" s="77"/>
      <c r="J15" s="77"/>
      <c r="K15" s="79"/>
    </row>
    <row r="16" spans="1:76" ht="14.4" x14ac:dyDescent="0.3">
      <c r="A16" s="25" t="s">
        <v>52</v>
      </c>
      <c r="B16" s="26" t="s">
        <v>67</v>
      </c>
      <c r="C16" s="72" t="s">
        <v>68</v>
      </c>
      <c r="D16" s="73"/>
      <c r="E16" s="27" t="s">
        <v>4</v>
      </c>
      <c r="F16" s="27" t="s">
        <v>4</v>
      </c>
      <c r="G16" s="28" t="s">
        <v>4</v>
      </c>
      <c r="H16" s="1">
        <f>SUM(H17:H17)</f>
        <v>0</v>
      </c>
      <c r="I16" s="1">
        <f>SUM(I17:I17)</f>
        <v>0</v>
      </c>
      <c r="J16" s="1">
        <f>SUM(J17:J17)</f>
        <v>0</v>
      </c>
      <c r="K16" s="29" t="s">
        <v>52</v>
      </c>
      <c r="AI16" s="10" t="s">
        <v>56</v>
      </c>
      <c r="AS16" s="1">
        <f>SUM(AJ17:AJ17)</f>
        <v>0</v>
      </c>
      <c r="AT16" s="1">
        <f>SUM(AK17:AK17)</f>
        <v>0</v>
      </c>
      <c r="AU16" s="1">
        <f>SUM(AL17:AL17)</f>
        <v>0</v>
      </c>
    </row>
    <row r="17" spans="1:76" ht="14.4" x14ac:dyDescent="0.3">
      <c r="A17" s="2" t="s">
        <v>69</v>
      </c>
      <c r="B17" s="3" t="s">
        <v>70</v>
      </c>
      <c r="C17" s="70" t="s">
        <v>71</v>
      </c>
      <c r="D17" s="71"/>
      <c r="E17" s="3" t="s">
        <v>72</v>
      </c>
      <c r="F17" s="30">
        <v>487</v>
      </c>
      <c r="G17" s="31">
        <v>0</v>
      </c>
      <c r="H17" s="30">
        <f>ROUND(F17*AO17,2)</f>
        <v>0</v>
      </c>
      <c r="I17" s="30">
        <f>ROUND(F17*AP17,2)</f>
        <v>0</v>
      </c>
      <c r="J17" s="30">
        <f>ROUND(F17*G17,2)</f>
        <v>0</v>
      </c>
      <c r="K17" s="32" t="s">
        <v>73</v>
      </c>
      <c r="Z17" s="30">
        <f>ROUND(IF(AQ17="5",BJ17,0),2)</f>
        <v>0</v>
      </c>
      <c r="AB17" s="30">
        <f>ROUND(IF(AQ17="1",BH17,0),2)</f>
        <v>0</v>
      </c>
      <c r="AC17" s="30">
        <f>ROUND(IF(AQ17="1",BI17,0),2)</f>
        <v>0</v>
      </c>
      <c r="AD17" s="30">
        <f>ROUND(IF(AQ17="7",BH17,0),2)</f>
        <v>0</v>
      </c>
      <c r="AE17" s="30">
        <f>ROUND(IF(AQ17="7",BI17,0),2)</f>
        <v>0</v>
      </c>
      <c r="AF17" s="30">
        <f>ROUND(IF(AQ17="2",BH17,0),2)</f>
        <v>0</v>
      </c>
      <c r="AG17" s="30">
        <f>ROUND(IF(AQ17="2",BI17,0),2)</f>
        <v>0</v>
      </c>
      <c r="AH17" s="30">
        <f>ROUND(IF(AQ17="0",BJ17,0),2)</f>
        <v>0</v>
      </c>
      <c r="AI17" s="10" t="s">
        <v>56</v>
      </c>
      <c r="AJ17" s="30">
        <f>IF(AN17=0,J17,0)</f>
        <v>0</v>
      </c>
      <c r="AK17" s="30">
        <f>IF(AN17=12,J17,0)</f>
        <v>0</v>
      </c>
      <c r="AL17" s="30">
        <f>IF(AN17=21,J17,0)</f>
        <v>0</v>
      </c>
      <c r="AN17" s="30">
        <v>21</v>
      </c>
      <c r="AO17" s="30">
        <f>G17*0</f>
        <v>0</v>
      </c>
      <c r="AP17" s="30">
        <f>G17*(1-0)</f>
        <v>0</v>
      </c>
      <c r="AQ17" s="33" t="s">
        <v>57</v>
      </c>
      <c r="AV17" s="30">
        <f>ROUND(AW17+AX17,2)</f>
        <v>0</v>
      </c>
      <c r="AW17" s="30">
        <f>ROUND(F17*AO17,2)</f>
        <v>0</v>
      </c>
      <c r="AX17" s="30">
        <f>ROUND(F17*AP17,2)</f>
        <v>0</v>
      </c>
      <c r="AY17" s="33" t="s">
        <v>74</v>
      </c>
      <c r="AZ17" s="33" t="s">
        <v>75</v>
      </c>
      <c r="BA17" s="10" t="s">
        <v>64</v>
      </c>
      <c r="BC17" s="30">
        <f>AW17+AX17</f>
        <v>0</v>
      </c>
      <c r="BD17" s="30">
        <f>G17/(100-BE17)*100</f>
        <v>0</v>
      </c>
      <c r="BE17" s="30">
        <v>0</v>
      </c>
      <c r="BF17" s="30">
        <f>17</f>
        <v>17</v>
      </c>
      <c r="BH17" s="30">
        <f>F17*AO17</f>
        <v>0</v>
      </c>
      <c r="BI17" s="30">
        <f>F17*AP17</f>
        <v>0</v>
      </c>
      <c r="BJ17" s="30">
        <f>F17*G17</f>
        <v>0</v>
      </c>
      <c r="BK17" s="30"/>
      <c r="BL17" s="30">
        <v>11</v>
      </c>
      <c r="BW17" s="30">
        <v>21</v>
      </c>
      <c r="BX17" s="4" t="s">
        <v>71</v>
      </c>
    </row>
    <row r="18" spans="1:76" ht="13.5" customHeight="1" x14ac:dyDescent="0.3">
      <c r="A18" s="34"/>
      <c r="B18" s="35" t="s">
        <v>65</v>
      </c>
      <c r="C18" s="76" t="s">
        <v>76</v>
      </c>
      <c r="D18" s="77"/>
      <c r="E18" s="77"/>
      <c r="F18" s="77"/>
      <c r="G18" s="78"/>
      <c r="H18" s="77"/>
      <c r="I18" s="77"/>
      <c r="J18" s="77"/>
      <c r="K18" s="79"/>
    </row>
    <row r="19" spans="1:76" ht="66" x14ac:dyDescent="0.3">
      <c r="A19" s="34"/>
      <c r="B19" s="35" t="s">
        <v>77</v>
      </c>
      <c r="C19" s="80" t="s">
        <v>78</v>
      </c>
      <c r="D19" s="81"/>
      <c r="E19" s="81"/>
      <c r="F19" s="81"/>
      <c r="G19" s="82"/>
      <c r="H19" s="81"/>
      <c r="I19" s="81"/>
      <c r="J19" s="81"/>
      <c r="K19" s="83"/>
      <c r="BX19" s="36" t="s">
        <v>78</v>
      </c>
    </row>
    <row r="20" spans="1:76" ht="14.4" x14ac:dyDescent="0.3">
      <c r="A20" s="25" t="s">
        <v>52</v>
      </c>
      <c r="B20" s="26" t="s">
        <v>79</v>
      </c>
      <c r="C20" s="72" t="s">
        <v>80</v>
      </c>
      <c r="D20" s="73"/>
      <c r="E20" s="27" t="s">
        <v>4</v>
      </c>
      <c r="F20" s="27" t="s">
        <v>4</v>
      </c>
      <c r="G20" s="28" t="s">
        <v>4</v>
      </c>
      <c r="H20" s="1">
        <f>SUM(H21:H23)</f>
        <v>0</v>
      </c>
      <c r="I20" s="1">
        <f>SUM(I21:I23)</f>
        <v>0</v>
      </c>
      <c r="J20" s="1">
        <f>SUM(J21:J23)</f>
        <v>0</v>
      </c>
      <c r="K20" s="29" t="s">
        <v>52</v>
      </c>
      <c r="AI20" s="10" t="s">
        <v>56</v>
      </c>
      <c r="AS20" s="1">
        <f>SUM(AJ21:AJ23)</f>
        <v>0</v>
      </c>
      <c r="AT20" s="1">
        <f>SUM(AK21:AK23)</f>
        <v>0</v>
      </c>
      <c r="AU20" s="1">
        <f>SUM(AL21:AL23)</f>
        <v>0</v>
      </c>
    </row>
    <row r="21" spans="1:76" ht="14.4" x14ac:dyDescent="0.3">
      <c r="A21" s="2" t="s">
        <v>81</v>
      </c>
      <c r="B21" s="3" t="s">
        <v>82</v>
      </c>
      <c r="C21" s="70" t="s">
        <v>83</v>
      </c>
      <c r="D21" s="71"/>
      <c r="E21" s="3" t="s">
        <v>84</v>
      </c>
      <c r="F21" s="30">
        <v>84</v>
      </c>
      <c r="G21" s="31">
        <v>0</v>
      </c>
      <c r="H21" s="30">
        <f>ROUND(F21*AO21,2)</f>
        <v>0</v>
      </c>
      <c r="I21" s="30">
        <f>ROUND(F21*AP21,2)</f>
        <v>0</v>
      </c>
      <c r="J21" s="30">
        <f>ROUND(F21*G21,2)</f>
        <v>0</v>
      </c>
      <c r="K21" s="32" t="s">
        <v>73</v>
      </c>
      <c r="Z21" s="30">
        <f>ROUND(IF(AQ21="5",BJ21,0),2)</f>
        <v>0</v>
      </c>
      <c r="AB21" s="30">
        <f>ROUND(IF(AQ21="1",BH21,0),2)</f>
        <v>0</v>
      </c>
      <c r="AC21" s="30">
        <f>ROUND(IF(AQ21="1",BI21,0),2)</f>
        <v>0</v>
      </c>
      <c r="AD21" s="30">
        <f>ROUND(IF(AQ21="7",BH21,0),2)</f>
        <v>0</v>
      </c>
      <c r="AE21" s="30">
        <f>ROUND(IF(AQ21="7",BI21,0),2)</f>
        <v>0</v>
      </c>
      <c r="AF21" s="30">
        <f>ROUND(IF(AQ21="2",BH21,0),2)</f>
        <v>0</v>
      </c>
      <c r="AG21" s="30">
        <f>ROUND(IF(AQ21="2",BI21,0),2)</f>
        <v>0</v>
      </c>
      <c r="AH21" s="30">
        <f>ROUND(IF(AQ21="0",BJ21,0),2)</f>
        <v>0</v>
      </c>
      <c r="AI21" s="10" t="s">
        <v>56</v>
      </c>
      <c r="AJ21" s="30">
        <f>IF(AN21=0,J21,0)</f>
        <v>0</v>
      </c>
      <c r="AK21" s="30">
        <f>IF(AN21=12,J21,0)</f>
        <v>0</v>
      </c>
      <c r="AL21" s="30">
        <f>IF(AN21=21,J21,0)</f>
        <v>0</v>
      </c>
      <c r="AN21" s="30">
        <v>21</v>
      </c>
      <c r="AO21" s="30">
        <f>G21*0</f>
        <v>0</v>
      </c>
      <c r="AP21" s="30">
        <f>G21*(1-0)</f>
        <v>0</v>
      </c>
      <c r="AQ21" s="33" t="s">
        <v>57</v>
      </c>
      <c r="AV21" s="30">
        <f>ROUND(AW21+AX21,2)</f>
        <v>0</v>
      </c>
      <c r="AW21" s="30">
        <f>ROUND(F21*AO21,2)</f>
        <v>0</v>
      </c>
      <c r="AX21" s="30">
        <f>ROUND(F21*AP21,2)</f>
        <v>0</v>
      </c>
      <c r="AY21" s="33" t="s">
        <v>85</v>
      </c>
      <c r="AZ21" s="33" t="s">
        <v>75</v>
      </c>
      <c r="BA21" s="10" t="s">
        <v>64</v>
      </c>
      <c r="BC21" s="30">
        <f>AW21+AX21</f>
        <v>0</v>
      </c>
      <c r="BD21" s="30">
        <f>G21/(100-BE21)*100</f>
        <v>0</v>
      </c>
      <c r="BE21" s="30">
        <v>0</v>
      </c>
      <c r="BF21" s="30">
        <f>21</f>
        <v>21</v>
      </c>
      <c r="BH21" s="30">
        <f>F21*AO21</f>
        <v>0</v>
      </c>
      <c r="BI21" s="30">
        <f>F21*AP21</f>
        <v>0</v>
      </c>
      <c r="BJ21" s="30">
        <f>F21*G21</f>
        <v>0</v>
      </c>
      <c r="BK21" s="30"/>
      <c r="BL21" s="30">
        <v>12</v>
      </c>
      <c r="BW21" s="30">
        <v>21</v>
      </c>
      <c r="BX21" s="4" t="s">
        <v>83</v>
      </c>
    </row>
    <row r="22" spans="1:76" ht="200.4" customHeight="1" x14ac:dyDescent="0.3">
      <c r="A22" s="34"/>
      <c r="B22" s="35" t="s">
        <v>77</v>
      </c>
      <c r="C22" s="80" t="s">
        <v>86</v>
      </c>
      <c r="D22" s="81"/>
      <c r="E22" s="81"/>
      <c r="F22" s="81"/>
      <c r="G22" s="82"/>
      <c r="H22" s="81"/>
      <c r="I22" s="81"/>
      <c r="J22" s="81"/>
      <c r="K22" s="83"/>
      <c r="BX22" s="36" t="s">
        <v>86</v>
      </c>
    </row>
    <row r="23" spans="1:76" ht="14.4" x14ac:dyDescent="0.3">
      <c r="A23" s="2" t="s">
        <v>87</v>
      </c>
      <c r="B23" s="3" t="s">
        <v>88</v>
      </c>
      <c r="C23" s="70" t="s">
        <v>89</v>
      </c>
      <c r="D23" s="71"/>
      <c r="E23" s="3" t="s">
        <v>84</v>
      </c>
      <c r="F23" s="30">
        <v>3.95</v>
      </c>
      <c r="G23" s="31">
        <v>0</v>
      </c>
      <c r="H23" s="30">
        <f>ROUND(F23*AO23,2)</f>
        <v>0</v>
      </c>
      <c r="I23" s="30">
        <f>ROUND(F23*AP23,2)</f>
        <v>0</v>
      </c>
      <c r="J23" s="30">
        <f>ROUND(F23*G23,2)</f>
        <v>0</v>
      </c>
      <c r="K23" s="32" t="s">
        <v>73</v>
      </c>
      <c r="Z23" s="30">
        <f>ROUND(IF(AQ23="5",BJ23,0),2)</f>
        <v>0</v>
      </c>
      <c r="AB23" s="30">
        <f>ROUND(IF(AQ23="1",BH23,0),2)</f>
        <v>0</v>
      </c>
      <c r="AC23" s="30">
        <f>ROUND(IF(AQ23="1",BI23,0),2)</f>
        <v>0</v>
      </c>
      <c r="AD23" s="30">
        <f>ROUND(IF(AQ23="7",BH23,0),2)</f>
        <v>0</v>
      </c>
      <c r="AE23" s="30">
        <f>ROUND(IF(AQ23="7",BI23,0),2)</f>
        <v>0</v>
      </c>
      <c r="AF23" s="30">
        <f>ROUND(IF(AQ23="2",BH23,0),2)</f>
        <v>0</v>
      </c>
      <c r="AG23" s="30">
        <f>ROUND(IF(AQ23="2",BI23,0),2)</f>
        <v>0</v>
      </c>
      <c r="AH23" s="30">
        <f>ROUND(IF(AQ23="0",BJ23,0),2)</f>
        <v>0</v>
      </c>
      <c r="AI23" s="10" t="s">
        <v>56</v>
      </c>
      <c r="AJ23" s="30">
        <f>IF(AN23=0,J23,0)</f>
        <v>0</v>
      </c>
      <c r="AK23" s="30">
        <f>IF(AN23=12,J23,0)</f>
        <v>0</v>
      </c>
      <c r="AL23" s="30">
        <f>IF(AN23=21,J23,0)</f>
        <v>0</v>
      </c>
      <c r="AN23" s="30">
        <v>21</v>
      </c>
      <c r="AO23" s="30">
        <f>G23*0</f>
        <v>0</v>
      </c>
      <c r="AP23" s="30">
        <f>G23*(1-0)</f>
        <v>0</v>
      </c>
      <c r="AQ23" s="33" t="s">
        <v>57</v>
      </c>
      <c r="AV23" s="30">
        <f>ROUND(AW23+AX23,2)</f>
        <v>0</v>
      </c>
      <c r="AW23" s="30">
        <f>ROUND(F23*AO23,2)</f>
        <v>0</v>
      </c>
      <c r="AX23" s="30">
        <f>ROUND(F23*AP23,2)</f>
        <v>0</v>
      </c>
      <c r="AY23" s="33" t="s">
        <v>85</v>
      </c>
      <c r="AZ23" s="33" t="s">
        <v>75</v>
      </c>
      <c r="BA23" s="10" t="s">
        <v>64</v>
      </c>
      <c r="BC23" s="30">
        <f>AW23+AX23</f>
        <v>0</v>
      </c>
      <c r="BD23" s="30">
        <f>G23/(100-BE23)*100</f>
        <v>0</v>
      </c>
      <c r="BE23" s="30">
        <v>0</v>
      </c>
      <c r="BF23" s="30">
        <f>23</f>
        <v>23</v>
      </c>
      <c r="BH23" s="30">
        <f>F23*AO23</f>
        <v>0</v>
      </c>
      <c r="BI23" s="30">
        <f>F23*AP23</f>
        <v>0</v>
      </c>
      <c r="BJ23" s="30">
        <f>F23*G23</f>
        <v>0</v>
      </c>
      <c r="BK23" s="30"/>
      <c r="BL23" s="30">
        <v>12</v>
      </c>
      <c r="BW23" s="30">
        <v>21</v>
      </c>
      <c r="BX23" s="4" t="s">
        <v>89</v>
      </c>
    </row>
    <row r="24" spans="1:76" ht="13.5" customHeight="1" x14ac:dyDescent="0.3">
      <c r="A24" s="34"/>
      <c r="B24" s="35" t="s">
        <v>65</v>
      </c>
      <c r="C24" s="76" t="s">
        <v>90</v>
      </c>
      <c r="D24" s="77"/>
      <c r="E24" s="77"/>
      <c r="F24" s="77"/>
      <c r="G24" s="78"/>
      <c r="H24" s="77"/>
      <c r="I24" s="77"/>
      <c r="J24" s="77"/>
      <c r="K24" s="79"/>
    </row>
    <row r="25" spans="1:76" ht="26.4" x14ac:dyDescent="0.3">
      <c r="A25" s="34"/>
      <c r="B25" s="35" t="s">
        <v>77</v>
      </c>
      <c r="C25" s="80" t="s">
        <v>91</v>
      </c>
      <c r="D25" s="81"/>
      <c r="E25" s="81"/>
      <c r="F25" s="81"/>
      <c r="G25" s="82"/>
      <c r="H25" s="81"/>
      <c r="I25" s="81"/>
      <c r="J25" s="81"/>
      <c r="K25" s="83"/>
      <c r="BX25" s="36" t="s">
        <v>91</v>
      </c>
    </row>
    <row r="26" spans="1:76" ht="14.4" x14ac:dyDescent="0.3">
      <c r="A26" s="25" t="s">
        <v>52</v>
      </c>
      <c r="B26" s="26" t="s">
        <v>92</v>
      </c>
      <c r="C26" s="72" t="s">
        <v>93</v>
      </c>
      <c r="D26" s="73"/>
      <c r="E26" s="27" t="s">
        <v>4</v>
      </c>
      <c r="F26" s="27" t="s">
        <v>4</v>
      </c>
      <c r="G26" s="28" t="s">
        <v>4</v>
      </c>
      <c r="H26" s="1">
        <f>SUM(H27:H32)</f>
        <v>0</v>
      </c>
      <c r="I26" s="1">
        <f>SUM(I27:I32)</f>
        <v>0</v>
      </c>
      <c r="J26" s="1">
        <f>SUM(J27:J32)</f>
        <v>0</v>
      </c>
      <c r="K26" s="29" t="s">
        <v>52</v>
      </c>
      <c r="AI26" s="10" t="s">
        <v>56</v>
      </c>
      <c r="AS26" s="1">
        <f>SUM(AJ27:AJ32)</f>
        <v>0</v>
      </c>
      <c r="AT26" s="1">
        <f>SUM(AK27:AK32)</f>
        <v>0</v>
      </c>
      <c r="AU26" s="1">
        <f>SUM(AL27:AL32)</f>
        <v>0</v>
      </c>
    </row>
    <row r="27" spans="1:76" ht="14.4" x14ac:dyDescent="0.3">
      <c r="A27" s="2" t="s">
        <v>94</v>
      </c>
      <c r="B27" s="3" t="s">
        <v>95</v>
      </c>
      <c r="C27" s="70" t="s">
        <v>96</v>
      </c>
      <c r="D27" s="71"/>
      <c r="E27" s="3" t="s">
        <v>72</v>
      </c>
      <c r="F27" s="30">
        <v>310</v>
      </c>
      <c r="G27" s="31">
        <v>0</v>
      </c>
      <c r="H27" s="30">
        <f>ROUND(F27*AO27,2)</f>
        <v>0</v>
      </c>
      <c r="I27" s="30">
        <f>ROUND(F27*AP27,2)</f>
        <v>0</v>
      </c>
      <c r="J27" s="30">
        <f>ROUND(F27*G27,2)</f>
        <v>0</v>
      </c>
      <c r="K27" s="32" t="s">
        <v>73</v>
      </c>
      <c r="Z27" s="30">
        <f>ROUND(IF(AQ27="5",BJ27,0),2)</f>
        <v>0</v>
      </c>
      <c r="AB27" s="30">
        <f>ROUND(IF(AQ27="1",BH27,0),2)</f>
        <v>0</v>
      </c>
      <c r="AC27" s="30">
        <f>ROUND(IF(AQ27="1",BI27,0),2)</f>
        <v>0</v>
      </c>
      <c r="AD27" s="30">
        <f>ROUND(IF(AQ27="7",BH27,0),2)</f>
        <v>0</v>
      </c>
      <c r="AE27" s="30">
        <f>ROUND(IF(AQ27="7",BI27,0),2)</f>
        <v>0</v>
      </c>
      <c r="AF27" s="30">
        <f>ROUND(IF(AQ27="2",BH27,0),2)</f>
        <v>0</v>
      </c>
      <c r="AG27" s="30">
        <f>ROUND(IF(AQ27="2",BI27,0),2)</f>
        <v>0</v>
      </c>
      <c r="AH27" s="30">
        <f>ROUND(IF(AQ27="0",BJ27,0),2)</f>
        <v>0</v>
      </c>
      <c r="AI27" s="10" t="s">
        <v>56</v>
      </c>
      <c r="AJ27" s="30">
        <f>IF(AN27=0,J27,0)</f>
        <v>0</v>
      </c>
      <c r="AK27" s="30">
        <f>IF(AN27=12,J27,0)</f>
        <v>0</v>
      </c>
      <c r="AL27" s="30">
        <f>IF(AN27=21,J27,0)</f>
        <v>0</v>
      </c>
      <c r="AN27" s="30">
        <v>21</v>
      </c>
      <c r="AO27" s="30">
        <f>G27*0</f>
        <v>0</v>
      </c>
      <c r="AP27" s="30">
        <f>G27*(1-0)</f>
        <v>0</v>
      </c>
      <c r="AQ27" s="33" t="s">
        <v>57</v>
      </c>
      <c r="AV27" s="30">
        <f>ROUND(AW27+AX27,2)</f>
        <v>0</v>
      </c>
      <c r="AW27" s="30">
        <f>ROUND(F27*AO27,2)</f>
        <v>0</v>
      </c>
      <c r="AX27" s="30">
        <f>ROUND(F27*AP27,2)</f>
        <v>0</v>
      </c>
      <c r="AY27" s="33" t="s">
        <v>97</v>
      </c>
      <c r="AZ27" s="33" t="s">
        <v>75</v>
      </c>
      <c r="BA27" s="10" t="s">
        <v>64</v>
      </c>
      <c r="BC27" s="30">
        <f>AW27+AX27</f>
        <v>0</v>
      </c>
      <c r="BD27" s="30">
        <f>G27/(100-BE27)*100</f>
        <v>0</v>
      </c>
      <c r="BE27" s="30">
        <v>0</v>
      </c>
      <c r="BF27" s="30">
        <f>27</f>
        <v>27</v>
      </c>
      <c r="BH27" s="30">
        <f>F27*AO27</f>
        <v>0</v>
      </c>
      <c r="BI27" s="30">
        <f>F27*AP27</f>
        <v>0</v>
      </c>
      <c r="BJ27" s="30">
        <f>F27*G27</f>
        <v>0</v>
      </c>
      <c r="BK27" s="30"/>
      <c r="BL27" s="30">
        <v>18</v>
      </c>
      <c r="BW27" s="30">
        <v>21</v>
      </c>
      <c r="BX27" s="4" t="s">
        <v>96</v>
      </c>
    </row>
    <row r="28" spans="1:76" ht="13.5" customHeight="1" x14ac:dyDescent="0.3">
      <c r="A28" s="34"/>
      <c r="B28" s="35" t="s">
        <v>65</v>
      </c>
      <c r="C28" s="76" t="s">
        <v>546</v>
      </c>
      <c r="D28" s="77"/>
      <c r="E28" s="77"/>
      <c r="F28" s="77"/>
      <c r="G28" s="78"/>
      <c r="H28" s="77"/>
      <c r="I28" s="77"/>
      <c r="J28" s="77"/>
      <c r="K28" s="79"/>
    </row>
    <row r="29" spans="1:76" ht="14.4" x14ac:dyDescent="0.3">
      <c r="A29" s="2" t="s">
        <v>98</v>
      </c>
      <c r="B29" s="3" t="s">
        <v>99</v>
      </c>
      <c r="C29" s="70" t="s">
        <v>100</v>
      </c>
      <c r="D29" s="71"/>
      <c r="E29" s="3" t="s">
        <v>72</v>
      </c>
      <c r="F29" s="30">
        <v>420</v>
      </c>
      <c r="G29" s="31">
        <v>0</v>
      </c>
      <c r="H29" s="30">
        <f>ROUND(F29*AO29,2)</f>
        <v>0</v>
      </c>
      <c r="I29" s="30">
        <f>ROUND(F29*AP29,2)</f>
        <v>0</v>
      </c>
      <c r="J29" s="30">
        <f>ROUND(F29*G29,2)</f>
        <v>0</v>
      </c>
      <c r="K29" s="32" t="s">
        <v>73</v>
      </c>
      <c r="Z29" s="30">
        <f>ROUND(IF(AQ29="5",BJ29,0),2)</f>
        <v>0</v>
      </c>
      <c r="AB29" s="30">
        <f>ROUND(IF(AQ29="1",BH29,0),2)</f>
        <v>0</v>
      </c>
      <c r="AC29" s="30">
        <f>ROUND(IF(AQ29="1",BI29,0),2)</f>
        <v>0</v>
      </c>
      <c r="AD29" s="30">
        <f>ROUND(IF(AQ29="7",BH29,0),2)</f>
        <v>0</v>
      </c>
      <c r="AE29" s="30">
        <f>ROUND(IF(AQ29="7",BI29,0),2)</f>
        <v>0</v>
      </c>
      <c r="AF29" s="30">
        <f>ROUND(IF(AQ29="2",BH29,0),2)</f>
        <v>0</v>
      </c>
      <c r="AG29" s="30">
        <f>ROUND(IF(AQ29="2",BI29,0),2)</f>
        <v>0</v>
      </c>
      <c r="AH29" s="30">
        <f>ROUND(IF(AQ29="0",BJ29,0),2)</f>
        <v>0</v>
      </c>
      <c r="AI29" s="10" t="s">
        <v>56</v>
      </c>
      <c r="AJ29" s="30">
        <f>IF(AN29=0,J29,0)</f>
        <v>0</v>
      </c>
      <c r="AK29" s="30">
        <f>IF(AN29=12,J29,0)</f>
        <v>0</v>
      </c>
      <c r="AL29" s="30">
        <f>IF(AN29=21,J29,0)</f>
        <v>0</v>
      </c>
      <c r="AN29" s="30">
        <v>21</v>
      </c>
      <c r="AO29" s="30">
        <f>G29*0</f>
        <v>0</v>
      </c>
      <c r="AP29" s="30">
        <f>G29*(1-0)</f>
        <v>0</v>
      </c>
      <c r="AQ29" s="33" t="s">
        <v>57</v>
      </c>
      <c r="AV29" s="30">
        <f>ROUND(AW29+AX29,2)</f>
        <v>0</v>
      </c>
      <c r="AW29" s="30">
        <f>ROUND(F29*AO29,2)</f>
        <v>0</v>
      </c>
      <c r="AX29" s="30">
        <f>ROUND(F29*AP29,2)</f>
        <v>0</v>
      </c>
      <c r="AY29" s="33" t="s">
        <v>97</v>
      </c>
      <c r="AZ29" s="33" t="s">
        <v>75</v>
      </c>
      <c r="BA29" s="10" t="s">
        <v>64</v>
      </c>
      <c r="BC29" s="30">
        <f>AW29+AX29</f>
        <v>0</v>
      </c>
      <c r="BD29" s="30">
        <f>G29/(100-BE29)*100</f>
        <v>0</v>
      </c>
      <c r="BE29" s="30">
        <v>0</v>
      </c>
      <c r="BF29" s="30">
        <f>29</f>
        <v>29</v>
      </c>
      <c r="BH29" s="30">
        <f>F29*AO29</f>
        <v>0</v>
      </c>
      <c r="BI29" s="30">
        <f>F29*AP29</f>
        <v>0</v>
      </c>
      <c r="BJ29" s="30">
        <f>F29*G29</f>
        <v>0</v>
      </c>
      <c r="BK29" s="30"/>
      <c r="BL29" s="30">
        <v>18</v>
      </c>
      <c r="BW29" s="30">
        <v>21</v>
      </c>
      <c r="BX29" s="4" t="s">
        <v>100</v>
      </c>
    </row>
    <row r="30" spans="1:76" ht="14.4" x14ac:dyDescent="0.3">
      <c r="A30" s="34"/>
      <c r="B30" s="35" t="s">
        <v>77</v>
      </c>
      <c r="C30" s="80" t="s">
        <v>101</v>
      </c>
      <c r="D30" s="81"/>
      <c r="E30" s="81"/>
      <c r="F30" s="81"/>
      <c r="G30" s="82"/>
      <c r="H30" s="81"/>
      <c r="I30" s="81"/>
      <c r="J30" s="81"/>
      <c r="K30" s="83"/>
      <c r="BX30" s="36" t="s">
        <v>101</v>
      </c>
    </row>
    <row r="31" spans="1:76" ht="14.4" x14ac:dyDescent="0.3">
      <c r="A31" s="2" t="s">
        <v>102</v>
      </c>
      <c r="B31" s="3" t="s">
        <v>103</v>
      </c>
      <c r="C31" s="70" t="s">
        <v>104</v>
      </c>
      <c r="D31" s="71"/>
      <c r="E31" s="3" t="s">
        <v>72</v>
      </c>
      <c r="F31" s="30">
        <v>14</v>
      </c>
      <c r="G31" s="31">
        <v>0</v>
      </c>
      <c r="H31" s="30">
        <f>ROUND(F31*AO31,2)</f>
        <v>0</v>
      </c>
      <c r="I31" s="30">
        <f>ROUND(F31*AP31,2)</f>
        <v>0</v>
      </c>
      <c r="J31" s="30">
        <f>ROUND(F31*G31,2)</f>
        <v>0</v>
      </c>
      <c r="K31" s="32" t="s">
        <v>73</v>
      </c>
      <c r="Z31" s="30">
        <f>ROUND(IF(AQ31="5",BJ31,0),2)</f>
        <v>0</v>
      </c>
      <c r="AB31" s="30">
        <f>ROUND(IF(AQ31="1",BH31,0),2)</f>
        <v>0</v>
      </c>
      <c r="AC31" s="30">
        <f>ROUND(IF(AQ31="1",BI31,0),2)</f>
        <v>0</v>
      </c>
      <c r="AD31" s="30">
        <f>ROUND(IF(AQ31="7",BH31,0),2)</f>
        <v>0</v>
      </c>
      <c r="AE31" s="30">
        <f>ROUND(IF(AQ31="7",BI31,0),2)</f>
        <v>0</v>
      </c>
      <c r="AF31" s="30">
        <f>ROUND(IF(AQ31="2",BH31,0),2)</f>
        <v>0</v>
      </c>
      <c r="AG31" s="30">
        <f>ROUND(IF(AQ31="2",BI31,0),2)</f>
        <v>0</v>
      </c>
      <c r="AH31" s="30">
        <f>ROUND(IF(AQ31="0",BJ31,0),2)</f>
        <v>0</v>
      </c>
      <c r="AI31" s="10" t="s">
        <v>56</v>
      </c>
      <c r="AJ31" s="30">
        <f>IF(AN31=0,J31,0)</f>
        <v>0</v>
      </c>
      <c r="AK31" s="30">
        <f>IF(AN31=12,J31,0)</f>
        <v>0</v>
      </c>
      <c r="AL31" s="30">
        <f>IF(AN31=21,J31,0)</f>
        <v>0</v>
      </c>
      <c r="AN31" s="30">
        <v>21</v>
      </c>
      <c r="AO31" s="30">
        <f>G31*0</f>
        <v>0</v>
      </c>
      <c r="AP31" s="30">
        <f>G31*(1-0)</f>
        <v>0</v>
      </c>
      <c r="AQ31" s="33" t="s">
        <v>57</v>
      </c>
      <c r="AV31" s="30">
        <f>ROUND(AW31+AX31,2)</f>
        <v>0</v>
      </c>
      <c r="AW31" s="30">
        <f>ROUND(F31*AO31,2)</f>
        <v>0</v>
      </c>
      <c r="AX31" s="30">
        <f>ROUND(F31*AP31,2)</f>
        <v>0</v>
      </c>
      <c r="AY31" s="33" t="s">
        <v>97</v>
      </c>
      <c r="AZ31" s="33" t="s">
        <v>75</v>
      </c>
      <c r="BA31" s="10" t="s">
        <v>64</v>
      </c>
      <c r="BC31" s="30">
        <f>AW31+AX31</f>
        <v>0</v>
      </c>
      <c r="BD31" s="30">
        <f>G31/(100-BE31)*100</f>
        <v>0</v>
      </c>
      <c r="BE31" s="30">
        <v>0</v>
      </c>
      <c r="BF31" s="30">
        <f>31</f>
        <v>31</v>
      </c>
      <c r="BH31" s="30">
        <f>F31*AO31</f>
        <v>0</v>
      </c>
      <c r="BI31" s="30">
        <f>F31*AP31</f>
        <v>0</v>
      </c>
      <c r="BJ31" s="30">
        <f>F31*G31</f>
        <v>0</v>
      </c>
      <c r="BK31" s="30"/>
      <c r="BL31" s="30">
        <v>18</v>
      </c>
      <c r="BW31" s="30">
        <v>21</v>
      </c>
      <c r="BX31" s="4" t="s">
        <v>104</v>
      </c>
    </row>
    <row r="32" spans="1:76" ht="14.4" x14ac:dyDescent="0.3">
      <c r="A32" s="2" t="s">
        <v>105</v>
      </c>
      <c r="B32" s="3" t="s">
        <v>106</v>
      </c>
      <c r="C32" s="70" t="s">
        <v>107</v>
      </c>
      <c r="D32" s="71"/>
      <c r="E32" s="3" t="s">
        <v>72</v>
      </c>
      <c r="F32" s="30">
        <v>156</v>
      </c>
      <c r="G32" s="31">
        <v>0</v>
      </c>
      <c r="H32" s="30">
        <f>ROUND(F32*AO32,2)</f>
        <v>0</v>
      </c>
      <c r="I32" s="30">
        <f>ROUND(F32*AP32,2)</f>
        <v>0</v>
      </c>
      <c r="J32" s="30">
        <f>ROUND(F32*G32,2)</f>
        <v>0</v>
      </c>
      <c r="K32" s="32" t="s">
        <v>73</v>
      </c>
      <c r="Z32" s="30">
        <f>ROUND(IF(AQ32="5",BJ32,0),2)</f>
        <v>0</v>
      </c>
      <c r="AB32" s="30">
        <f>ROUND(IF(AQ32="1",BH32,0),2)</f>
        <v>0</v>
      </c>
      <c r="AC32" s="30">
        <f>ROUND(IF(AQ32="1",BI32,0),2)</f>
        <v>0</v>
      </c>
      <c r="AD32" s="30">
        <f>ROUND(IF(AQ32="7",BH32,0),2)</f>
        <v>0</v>
      </c>
      <c r="AE32" s="30">
        <f>ROUND(IF(AQ32="7",BI32,0),2)</f>
        <v>0</v>
      </c>
      <c r="AF32" s="30">
        <f>ROUND(IF(AQ32="2",BH32,0),2)</f>
        <v>0</v>
      </c>
      <c r="AG32" s="30">
        <f>ROUND(IF(AQ32="2",BI32,0),2)</f>
        <v>0</v>
      </c>
      <c r="AH32" s="30">
        <f>ROUND(IF(AQ32="0",BJ32,0),2)</f>
        <v>0</v>
      </c>
      <c r="AI32" s="10" t="s">
        <v>56</v>
      </c>
      <c r="AJ32" s="30">
        <f>IF(AN32=0,J32,0)</f>
        <v>0</v>
      </c>
      <c r="AK32" s="30">
        <f>IF(AN32=12,J32,0)</f>
        <v>0</v>
      </c>
      <c r="AL32" s="30">
        <f>IF(AN32=21,J32,0)</f>
        <v>0</v>
      </c>
      <c r="AN32" s="30">
        <v>21</v>
      </c>
      <c r="AO32" s="30">
        <f>G32*0</f>
        <v>0</v>
      </c>
      <c r="AP32" s="30">
        <f>G32*(1-0)</f>
        <v>0</v>
      </c>
      <c r="AQ32" s="33" t="s">
        <v>57</v>
      </c>
      <c r="AV32" s="30">
        <f>ROUND(AW32+AX32,2)</f>
        <v>0</v>
      </c>
      <c r="AW32" s="30">
        <f>ROUND(F32*AO32,2)</f>
        <v>0</v>
      </c>
      <c r="AX32" s="30">
        <f>ROUND(F32*AP32,2)</f>
        <v>0</v>
      </c>
      <c r="AY32" s="33" t="s">
        <v>97</v>
      </c>
      <c r="AZ32" s="33" t="s">
        <v>75</v>
      </c>
      <c r="BA32" s="10" t="s">
        <v>64</v>
      </c>
      <c r="BC32" s="30">
        <f>AW32+AX32</f>
        <v>0</v>
      </c>
      <c r="BD32" s="30">
        <f>G32/(100-BE32)*100</f>
        <v>0</v>
      </c>
      <c r="BE32" s="30">
        <v>0</v>
      </c>
      <c r="BF32" s="30">
        <f>32</f>
        <v>32</v>
      </c>
      <c r="BH32" s="30">
        <f>F32*AO32</f>
        <v>0</v>
      </c>
      <c r="BI32" s="30">
        <f>F32*AP32</f>
        <v>0</v>
      </c>
      <c r="BJ32" s="30">
        <f>F32*G32</f>
        <v>0</v>
      </c>
      <c r="BK32" s="30"/>
      <c r="BL32" s="30">
        <v>18</v>
      </c>
      <c r="BW32" s="30">
        <v>21</v>
      </c>
      <c r="BX32" s="4" t="s">
        <v>107</v>
      </c>
    </row>
    <row r="33" spans="1:76" ht="14.4" x14ac:dyDescent="0.3">
      <c r="A33" s="25" t="s">
        <v>52</v>
      </c>
      <c r="B33" s="26" t="s">
        <v>108</v>
      </c>
      <c r="C33" s="72" t="s">
        <v>109</v>
      </c>
      <c r="D33" s="73"/>
      <c r="E33" s="27" t="s">
        <v>4</v>
      </c>
      <c r="F33" s="27" t="s">
        <v>4</v>
      </c>
      <c r="G33" s="28" t="s">
        <v>4</v>
      </c>
      <c r="H33" s="1">
        <f>SUM(H34:H34)</f>
        <v>0</v>
      </c>
      <c r="I33" s="1">
        <f>SUM(I34:I34)</f>
        <v>0</v>
      </c>
      <c r="J33" s="1">
        <f>SUM(J34:J34)</f>
        <v>0</v>
      </c>
      <c r="K33" s="29" t="s">
        <v>52</v>
      </c>
      <c r="AI33" s="10" t="s">
        <v>56</v>
      </c>
      <c r="AS33" s="1">
        <f>SUM(AJ34:AJ34)</f>
        <v>0</v>
      </c>
      <c r="AT33" s="1">
        <f>SUM(AK34:AK34)</f>
        <v>0</v>
      </c>
      <c r="AU33" s="1">
        <f>SUM(AL34:AL34)</f>
        <v>0</v>
      </c>
    </row>
    <row r="34" spans="1:76" ht="14.4" x14ac:dyDescent="0.3">
      <c r="A34" s="2" t="s">
        <v>110</v>
      </c>
      <c r="B34" s="3" t="s">
        <v>111</v>
      </c>
      <c r="C34" s="70" t="s">
        <v>112</v>
      </c>
      <c r="D34" s="71"/>
      <c r="E34" s="3" t="s">
        <v>84</v>
      </c>
      <c r="F34" s="30">
        <v>4.82</v>
      </c>
      <c r="G34" s="31">
        <v>0</v>
      </c>
      <c r="H34" s="30">
        <f>ROUND(F34*AO34,2)</f>
        <v>0</v>
      </c>
      <c r="I34" s="30">
        <f>ROUND(F34*AP34,2)</f>
        <v>0</v>
      </c>
      <c r="J34" s="30">
        <f>ROUND(F34*G34,2)</f>
        <v>0</v>
      </c>
      <c r="K34" s="32" t="s">
        <v>73</v>
      </c>
      <c r="Z34" s="30">
        <f>ROUND(IF(AQ34="5",BJ34,0),2)</f>
        <v>0</v>
      </c>
      <c r="AB34" s="30">
        <f>ROUND(IF(AQ34="1",BH34,0),2)</f>
        <v>0</v>
      </c>
      <c r="AC34" s="30">
        <f>ROUND(IF(AQ34="1",BI34,0),2)</f>
        <v>0</v>
      </c>
      <c r="AD34" s="30">
        <f>ROUND(IF(AQ34="7",BH34,0),2)</f>
        <v>0</v>
      </c>
      <c r="AE34" s="30">
        <f>ROUND(IF(AQ34="7",BI34,0),2)</f>
        <v>0</v>
      </c>
      <c r="AF34" s="30">
        <f>ROUND(IF(AQ34="2",BH34,0),2)</f>
        <v>0</v>
      </c>
      <c r="AG34" s="30">
        <f>ROUND(IF(AQ34="2",BI34,0),2)</f>
        <v>0</v>
      </c>
      <c r="AH34" s="30">
        <f>ROUND(IF(AQ34="0",BJ34,0),2)</f>
        <v>0</v>
      </c>
      <c r="AI34" s="10" t="s">
        <v>56</v>
      </c>
      <c r="AJ34" s="30">
        <f>IF(AN34=0,J34,0)</f>
        <v>0</v>
      </c>
      <c r="AK34" s="30">
        <f>IF(AN34=12,J34,0)</f>
        <v>0</v>
      </c>
      <c r="AL34" s="30">
        <f>IF(AN34=21,J34,0)</f>
        <v>0</v>
      </c>
      <c r="AN34" s="30">
        <v>21</v>
      </c>
      <c r="AO34" s="30">
        <f>G34*0.422965869</f>
        <v>0</v>
      </c>
      <c r="AP34" s="30">
        <f>G34*(1-0.422965869)</f>
        <v>0</v>
      </c>
      <c r="AQ34" s="33" t="s">
        <v>57</v>
      </c>
      <c r="AV34" s="30">
        <f>ROUND(AW34+AX34,2)</f>
        <v>0</v>
      </c>
      <c r="AW34" s="30">
        <f>ROUND(F34*AO34,2)</f>
        <v>0</v>
      </c>
      <c r="AX34" s="30">
        <f>ROUND(F34*AP34,2)</f>
        <v>0</v>
      </c>
      <c r="AY34" s="33" t="s">
        <v>113</v>
      </c>
      <c r="AZ34" s="33" t="s">
        <v>114</v>
      </c>
      <c r="BA34" s="10" t="s">
        <v>64</v>
      </c>
      <c r="BC34" s="30">
        <f>AW34+AX34</f>
        <v>0</v>
      </c>
      <c r="BD34" s="30">
        <f>G34/(100-BE34)*100</f>
        <v>0</v>
      </c>
      <c r="BE34" s="30">
        <v>0</v>
      </c>
      <c r="BF34" s="30">
        <f>34</f>
        <v>34</v>
      </c>
      <c r="BH34" s="30">
        <f>F34*AO34</f>
        <v>0</v>
      </c>
      <c r="BI34" s="30">
        <f>F34*AP34</f>
        <v>0</v>
      </c>
      <c r="BJ34" s="30">
        <f>F34*G34</f>
        <v>0</v>
      </c>
      <c r="BK34" s="30"/>
      <c r="BL34" s="30">
        <v>27</v>
      </c>
      <c r="BW34" s="30">
        <v>21</v>
      </c>
      <c r="BX34" s="4" t="s">
        <v>112</v>
      </c>
    </row>
    <row r="35" spans="1:76" ht="13.5" customHeight="1" x14ac:dyDescent="0.3">
      <c r="A35" s="34"/>
      <c r="B35" s="35" t="s">
        <v>65</v>
      </c>
      <c r="C35" s="76" t="s">
        <v>115</v>
      </c>
      <c r="D35" s="77"/>
      <c r="E35" s="77"/>
      <c r="F35" s="77"/>
      <c r="G35" s="78"/>
      <c r="H35" s="77"/>
      <c r="I35" s="77"/>
      <c r="J35" s="77"/>
      <c r="K35" s="79"/>
    </row>
    <row r="36" spans="1:76" ht="14.4" x14ac:dyDescent="0.3">
      <c r="A36" s="25" t="s">
        <v>52</v>
      </c>
      <c r="B36" s="26" t="s">
        <v>116</v>
      </c>
      <c r="C36" s="72" t="s">
        <v>117</v>
      </c>
      <c r="D36" s="73"/>
      <c r="E36" s="27" t="s">
        <v>4</v>
      </c>
      <c r="F36" s="27" t="s">
        <v>4</v>
      </c>
      <c r="G36" s="28" t="s">
        <v>4</v>
      </c>
      <c r="H36" s="1">
        <f>SUM(H37:H37)</f>
        <v>0</v>
      </c>
      <c r="I36" s="1">
        <f>SUM(I37:I37)</f>
        <v>0</v>
      </c>
      <c r="J36" s="1">
        <f>SUM(J37:J37)</f>
        <v>0</v>
      </c>
      <c r="K36" s="29" t="s">
        <v>52</v>
      </c>
      <c r="AI36" s="10" t="s">
        <v>56</v>
      </c>
      <c r="AS36" s="1">
        <f>SUM(AJ37:AJ37)</f>
        <v>0</v>
      </c>
      <c r="AT36" s="1">
        <f>SUM(AK37:AK37)</f>
        <v>0</v>
      </c>
      <c r="AU36" s="1">
        <f>SUM(AL37:AL37)</f>
        <v>0</v>
      </c>
    </row>
    <row r="37" spans="1:76" ht="14.4" x14ac:dyDescent="0.3">
      <c r="A37" s="2" t="s">
        <v>118</v>
      </c>
      <c r="B37" s="3" t="s">
        <v>119</v>
      </c>
      <c r="C37" s="70" t="s">
        <v>120</v>
      </c>
      <c r="D37" s="71"/>
      <c r="E37" s="3" t="s">
        <v>72</v>
      </c>
      <c r="F37" s="30">
        <v>14</v>
      </c>
      <c r="G37" s="31">
        <v>0</v>
      </c>
      <c r="H37" s="30">
        <f>ROUND(F37*AO37,2)</f>
        <v>0</v>
      </c>
      <c r="I37" s="30">
        <f>ROUND(F37*AP37,2)</f>
        <v>0</v>
      </c>
      <c r="J37" s="30">
        <f>ROUND(F37*G37,2)</f>
        <v>0</v>
      </c>
      <c r="K37" s="32" t="s">
        <v>73</v>
      </c>
      <c r="Z37" s="30">
        <f>ROUND(IF(AQ37="5",BJ37,0),2)</f>
        <v>0</v>
      </c>
      <c r="AB37" s="30">
        <f>ROUND(IF(AQ37="1",BH37,0),2)</f>
        <v>0</v>
      </c>
      <c r="AC37" s="30">
        <f>ROUND(IF(AQ37="1",BI37,0),2)</f>
        <v>0</v>
      </c>
      <c r="AD37" s="30">
        <f>ROUND(IF(AQ37="7",BH37,0),2)</f>
        <v>0</v>
      </c>
      <c r="AE37" s="30">
        <f>ROUND(IF(AQ37="7",BI37,0),2)</f>
        <v>0</v>
      </c>
      <c r="AF37" s="30">
        <f>ROUND(IF(AQ37="2",BH37,0),2)</f>
        <v>0</v>
      </c>
      <c r="AG37" s="30">
        <f>ROUND(IF(AQ37="2",BI37,0),2)</f>
        <v>0</v>
      </c>
      <c r="AH37" s="30">
        <f>ROUND(IF(AQ37="0",BJ37,0),2)</f>
        <v>0</v>
      </c>
      <c r="AI37" s="10" t="s">
        <v>56</v>
      </c>
      <c r="AJ37" s="30">
        <f>IF(AN37=0,J37,0)</f>
        <v>0</v>
      </c>
      <c r="AK37" s="30">
        <f>IF(AN37=12,J37,0)</f>
        <v>0</v>
      </c>
      <c r="AL37" s="30">
        <f>IF(AN37=21,J37,0)</f>
        <v>0</v>
      </c>
      <c r="AN37" s="30">
        <v>21</v>
      </c>
      <c r="AO37" s="30">
        <f>G37*0</f>
        <v>0</v>
      </c>
      <c r="AP37" s="30">
        <f>G37*(1-0)</f>
        <v>0</v>
      </c>
      <c r="AQ37" s="33" t="s">
        <v>57</v>
      </c>
      <c r="AV37" s="30">
        <f>ROUND(AW37+AX37,2)</f>
        <v>0</v>
      </c>
      <c r="AW37" s="30">
        <f>ROUND(F37*AO37,2)</f>
        <v>0</v>
      </c>
      <c r="AX37" s="30">
        <f>ROUND(F37*AP37,2)</f>
        <v>0</v>
      </c>
      <c r="AY37" s="33" t="s">
        <v>121</v>
      </c>
      <c r="AZ37" s="33" t="s">
        <v>122</v>
      </c>
      <c r="BA37" s="10" t="s">
        <v>64</v>
      </c>
      <c r="BC37" s="30">
        <f>AW37+AX37</f>
        <v>0</v>
      </c>
      <c r="BD37" s="30">
        <f>G37/(100-BE37)*100</f>
        <v>0</v>
      </c>
      <c r="BE37" s="30">
        <v>0</v>
      </c>
      <c r="BF37" s="30">
        <f>37</f>
        <v>37</v>
      </c>
      <c r="BH37" s="30">
        <f>F37*AO37</f>
        <v>0</v>
      </c>
      <c r="BI37" s="30">
        <f>F37*AP37</f>
        <v>0</v>
      </c>
      <c r="BJ37" s="30">
        <f>F37*G37</f>
        <v>0</v>
      </c>
      <c r="BK37" s="30"/>
      <c r="BL37" s="30">
        <v>45</v>
      </c>
      <c r="BW37" s="30">
        <v>21</v>
      </c>
      <c r="BX37" s="4" t="s">
        <v>120</v>
      </c>
    </row>
    <row r="38" spans="1:76" ht="14.4" x14ac:dyDescent="0.3">
      <c r="A38" s="25" t="s">
        <v>52</v>
      </c>
      <c r="B38" s="26" t="s">
        <v>123</v>
      </c>
      <c r="C38" s="72" t="s">
        <v>124</v>
      </c>
      <c r="D38" s="73"/>
      <c r="E38" s="27" t="s">
        <v>4</v>
      </c>
      <c r="F38" s="27" t="s">
        <v>4</v>
      </c>
      <c r="G38" s="28" t="s">
        <v>4</v>
      </c>
      <c r="H38" s="1">
        <f>SUM(H39:H42)</f>
        <v>0</v>
      </c>
      <c r="I38" s="1">
        <f>SUM(I39:I42)</f>
        <v>0</v>
      </c>
      <c r="J38" s="1">
        <f>SUM(J39:J42)</f>
        <v>0</v>
      </c>
      <c r="K38" s="29" t="s">
        <v>52</v>
      </c>
      <c r="AI38" s="10" t="s">
        <v>56</v>
      </c>
      <c r="AS38" s="1">
        <f>SUM(AJ39:AJ42)</f>
        <v>0</v>
      </c>
      <c r="AT38" s="1">
        <f>SUM(AK39:AK42)</f>
        <v>0</v>
      </c>
      <c r="AU38" s="1">
        <f>SUM(AL39:AL42)</f>
        <v>0</v>
      </c>
    </row>
    <row r="39" spans="1:76" ht="14.4" x14ac:dyDescent="0.3">
      <c r="A39" s="2" t="s">
        <v>67</v>
      </c>
      <c r="B39" s="3" t="s">
        <v>125</v>
      </c>
      <c r="C39" s="70" t="s">
        <v>126</v>
      </c>
      <c r="D39" s="71"/>
      <c r="E39" s="3" t="s">
        <v>72</v>
      </c>
      <c r="F39" s="30">
        <v>158</v>
      </c>
      <c r="G39" s="31">
        <v>0</v>
      </c>
      <c r="H39" s="30">
        <f>ROUND(F39*AO39,2)</f>
        <v>0</v>
      </c>
      <c r="I39" s="30">
        <f>ROUND(F39*AP39,2)</f>
        <v>0</v>
      </c>
      <c r="J39" s="30">
        <f>ROUND(F39*G39,2)</f>
        <v>0</v>
      </c>
      <c r="K39" s="32" t="s">
        <v>73</v>
      </c>
      <c r="Z39" s="30">
        <f>ROUND(IF(AQ39="5",BJ39,0),2)</f>
        <v>0</v>
      </c>
      <c r="AB39" s="30">
        <f>ROUND(IF(AQ39="1",BH39,0),2)</f>
        <v>0</v>
      </c>
      <c r="AC39" s="30">
        <f>ROUND(IF(AQ39="1",BI39,0),2)</f>
        <v>0</v>
      </c>
      <c r="AD39" s="30">
        <f>ROUND(IF(AQ39="7",BH39,0),2)</f>
        <v>0</v>
      </c>
      <c r="AE39" s="30">
        <f>ROUND(IF(AQ39="7",BI39,0),2)</f>
        <v>0</v>
      </c>
      <c r="AF39" s="30">
        <f>ROUND(IF(AQ39="2",BH39,0),2)</f>
        <v>0</v>
      </c>
      <c r="AG39" s="30">
        <f>ROUND(IF(AQ39="2",BI39,0),2)</f>
        <v>0</v>
      </c>
      <c r="AH39" s="30">
        <f>ROUND(IF(AQ39="0",BJ39,0),2)</f>
        <v>0</v>
      </c>
      <c r="AI39" s="10" t="s">
        <v>56</v>
      </c>
      <c r="AJ39" s="30">
        <f>IF(AN39=0,J39,0)</f>
        <v>0</v>
      </c>
      <c r="AK39" s="30">
        <f>IF(AN39=12,J39,0)</f>
        <v>0</v>
      </c>
      <c r="AL39" s="30">
        <f>IF(AN39=21,J39,0)</f>
        <v>0</v>
      </c>
      <c r="AN39" s="30">
        <v>21</v>
      </c>
      <c r="AO39" s="30">
        <f>G39*0</f>
        <v>0</v>
      </c>
      <c r="AP39" s="30">
        <f>G39*(1-0)</f>
        <v>0</v>
      </c>
      <c r="AQ39" s="33" t="s">
        <v>57</v>
      </c>
      <c r="AV39" s="30">
        <f>ROUND(AW39+AX39,2)</f>
        <v>0</v>
      </c>
      <c r="AW39" s="30">
        <f>ROUND(F39*AO39,2)</f>
        <v>0</v>
      </c>
      <c r="AX39" s="30">
        <f>ROUND(F39*AP39,2)</f>
        <v>0</v>
      </c>
      <c r="AY39" s="33" t="s">
        <v>127</v>
      </c>
      <c r="AZ39" s="33" t="s">
        <v>128</v>
      </c>
      <c r="BA39" s="10" t="s">
        <v>64</v>
      </c>
      <c r="BC39" s="30">
        <f>AW39+AX39</f>
        <v>0</v>
      </c>
      <c r="BD39" s="30">
        <f>G39/(100-BE39)*100</f>
        <v>0</v>
      </c>
      <c r="BE39" s="30">
        <v>0</v>
      </c>
      <c r="BF39" s="30">
        <f>39</f>
        <v>39</v>
      </c>
      <c r="BH39" s="30">
        <f>F39*AO39</f>
        <v>0</v>
      </c>
      <c r="BI39" s="30">
        <f>F39*AP39</f>
        <v>0</v>
      </c>
      <c r="BJ39" s="30">
        <f>F39*G39</f>
        <v>0</v>
      </c>
      <c r="BK39" s="30"/>
      <c r="BL39" s="30">
        <v>58</v>
      </c>
      <c r="BW39" s="30">
        <v>21</v>
      </c>
      <c r="BX39" s="4" t="s">
        <v>126</v>
      </c>
    </row>
    <row r="40" spans="1:76" ht="13.5" customHeight="1" x14ac:dyDescent="0.3">
      <c r="A40" s="34"/>
      <c r="B40" s="35" t="s">
        <v>65</v>
      </c>
      <c r="C40" s="76" t="s">
        <v>129</v>
      </c>
      <c r="D40" s="77"/>
      <c r="E40" s="77"/>
      <c r="F40" s="77"/>
      <c r="G40" s="78"/>
      <c r="H40" s="77"/>
      <c r="I40" s="77"/>
      <c r="J40" s="77"/>
      <c r="K40" s="79"/>
    </row>
    <row r="41" spans="1:76" ht="14.4" x14ac:dyDescent="0.3">
      <c r="A41" s="34"/>
      <c r="B41" s="35" t="s">
        <v>77</v>
      </c>
      <c r="C41" s="80" t="s">
        <v>130</v>
      </c>
      <c r="D41" s="81"/>
      <c r="E41" s="81"/>
      <c r="F41" s="81"/>
      <c r="G41" s="82"/>
      <c r="H41" s="81"/>
      <c r="I41" s="81"/>
      <c r="J41" s="81"/>
      <c r="K41" s="83"/>
      <c r="BX41" s="36" t="s">
        <v>130</v>
      </c>
    </row>
    <row r="42" spans="1:76" ht="14.4" x14ac:dyDescent="0.3">
      <c r="A42" s="2" t="s">
        <v>79</v>
      </c>
      <c r="B42" s="3" t="s">
        <v>131</v>
      </c>
      <c r="C42" s="70" t="s">
        <v>132</v>
      </c>
      <c r="D42" s="71"/>
      <c r="E42" s="3" t="s">
        <v>72</v>
      </c>
      <c r="F42" s="30">
        <v>181.7</v>
      </c>
      <c r="G42" s="31">
        <v>0</v>
      </c>
      <c r="H42" s="30">
        <f>ROUND(F42*AO42,2)</f>
        <v>0</v>
      </c>
      <c r="I42" s="30">
        <f>ROUND(F42*AP42,2)</f>
        <v>0</v>
      </c>
      <c r="J42" s="30">
        <f>ROUND(F42*G42,2)</f>
        <v>0</v>
      </c>
      <c r="K42" s="32" t="s">
        <v>133</v>
      </c>
      <c r="Z42" s="30">
        <f>ROUND(IF(AQ42="5",BJ42,0),2)</f>
        <v>0</v>
      </c>
      <c r="AB42" s="30">
        <f>ROUND(IF(AQ42="1",BH42,0),2)</f>
        <v>0</v>
      </c>
      <c r="AC42" s="30">
        <f>ROUND(IF(AQ42="1",BI42,0),2)</f>
        <v>0</v>
      </c>
      <c r="AD42" s="30">
        <f>ROUND(IF(AQ42="7",BH42,0),2)</f>
        <v>0</v>
      </c>
      <c r="AE42" s="30">
        <f>ROUND(IF(AQ42="7",BI42,0),2)</f>
        <v>0</v>
      </c>
      <c r="AF42" s="30">
        <f>ROUND(IF(AQ42="2",BH42,0),2)</f>
        <v>0</v>
      </c>
      <c r="AG42" s="30">
        <f>ROUND(IF(AQ42="2",BI42,0),2)</f>
        <v>0</v>
      </c>
      <c r="AH42" s="30">
        <f>ROUND(IF(AQ42="0",BJ42,0),2)</f>
        <v>0</v>
      </c>
      <c r="AI42" s="10" t="s">
        <v>56</v>
      </c>
      <c r="AJ42" s="30">
        <f>IF(AN42=0,J42,0)</f>
        <v>0</v>
      </c>
      <c r="AK42" s="30">
        <f>IF(AN42=12,J42,0)</f>
        <v>0</v>
      </c>
      <c r="AL42" s="30">
        <f>IF(AN42=21,J42,0)</f>
        <v>0</v>
      </c>
      <c r="AN42" s="30">
        <v>21</v>
      </c>
      <c r="AO42" s="30">
        <f>G42*1</f>
        <v>0</v>
      </c>
      <c r="AP42" s="30">
        <f>G42*(1-1)</f>
        <v>0</v>
      </c>
      <c r="AQ42" s="33" t="s">
        <v>57</v>
      </c>
      <c r="AV42" s="30">
        <f>ROUND(AW42+AX42,2)</f>
        <v>0</v>
      </c>
      <c r="AW42" s="30">
        <f>ROUND(F42*AO42,2)</f>
        <v>0</v>
      </c>
      <c r="AX42" s="30">
        <f>ROUND(F42*AP42,2)</f>
        <v>0</v>
      </c>
      <c r="AY42" s="33" t="s">
        <v>127</v>
      </c>
      <c r="AZ42" s="33" t="s">
        <v>128</v>
      </c>
      <c r="BA42" s="10" t="s">
        <v>64</v>
      </c>
      <c r="BC42" s="30">
        <f>AW42+AX42</f>
        <v>0</v>
      </c>
      <c r="BD42" s="30">
        <f>G42/(100-BE42)*100</f>
        <v>0</v>
      </c>
      <c r="BE42" s="30">
        <v>0</v>
      </c>
      <c r="BF42" s="30">
        <f>42</f>
        <v>42</v>
      </c>
      <c r="BH42" s="30">
        <f>F42*AO42</f>
        <v>0</v>
      </c>
      <c r="BI42" s="30">
        <f>F42*AP42</f>
        <v>0</v>
      </c>
      <c r="BJ42" s="30">
        <f>F42*G42</f>
        <v>0</v>
      </c>
      <c r="BK42" s="30"/>
      <c r="BL42" s="30">
        <v>58</v>
      </c>
      <c r="BW42" s="30">
        <v>21</v>
      </c>
      <c r="BX42" s="4" t="s">
        <v>132</v>
      </c>
    </row>
    <row r="43" spans="1:76" ht="14.4" x14ac:dyDescent="0.3">
      <c r="A43" s="34"/>
      <c r="C43" s="37" t="s">
        <v>134</v>
      </c>
      <c r="D43" s="37" t="s">
        <v>52</v>
      </c>
      <c r="F43" s="38">
        <v>158</v>
      </c>
      <c r="K43" s="39"/>
    </row>
    <row r="44" spans="1:76" ht="14.4" x14ac:dyDescent="0.3">
      <c r="A44" s="34"/>
      <c r="C44" s="37" t="s">
        <v>135</v>
      </c>
      <c r="D44" s="37" t="s">
        <v>52</v>
      </c>
      <c r="F44" s="38">
        <v>23.7</v>
      </c>
      <c r="K44" s="39"/>
    </row>
    <row r="45" spans="1:76" ht="14.4" x14ac:dyDescent="0.3">
      <c r="A45" s="25" t="s">
        <v>52</v>
      </c>
      <c r="B45" s="26" t="s">
        <v>136</v>
      </c>
      <c r="C45" s="72" t="s">
        <v>137</v>
      </c>
      <c r="D45" s="73"/>
      <c r="E45" s="27" t="s">
        <v>4</v>
      </c>
      <c r="F45" s="27" t="s">
        <v>4</v>
      </c>
      <c r="G45" s="28" t="s">
        <v>4</v>
      </c>
      <c r="H45" s="1">
        <f>SUM(H46:H49)</f>
        <v>0</v>
      </c>
      <c r="I45" s="1">
        <f>SUM(I46:I49)</f>
        <v>0</v>
      </c>
      <c r="J45" s="1">
        <f>SUM(J46:J49)</f>
        <v>0</v>
      </c>
      <c r="K45" s="29" t="s">
        <v>52</v>
      </c>
      <c r="AI45" s="10" t="s">
        <v>56</v>
      </c>
      <c r="AS45" s="1">
        <f>SUM(AJ46:AJ49)</f>
        <v>0</v>
      </c>
      <c r="AT45" s="1">
        <f>SUM(AK46:AK49)</f>
        <v>0</v>
      </c>
      <c r="AU45" s="1">
        <f>SUM(AL46:AL49)</f>
        <v>0</v>
      </c>
    </row>
    <row r="46" spans="1:76" ht="14.4" x14ac:dyDescent="0.3">
      <c r="A46" s="2" t="s">
        <v>138</v>
      </c>
      <c r="B46" s="3" t="s">
        <v>139</v>
      </c>
      <c r="C46" s="70" t="s">
        <v>140</v>
      </c>
      <c r="D46" s="71"/>
      <c r="E46" s="3" t="s">
        <v>72</v>
      </c>
      <c r="F46" s="30">
        <v>15.44</v>
      </c>
      <c r="G46" s="31">
        <v>0</v>
      </c>
      <c r="H46" s="30">
        <f>ROUND(F46*AO46,2)</f>
        <v>0</v>
      </c>
      <c r="I46" s="30">
        <f>ROUND(F46*AP46,2)</f>
        <v>0</v>
      </c>
      <c r="J46" s="30">
        <f>ROUND(F46*G46,2)</f>
        <v>0</v>
      </c>
      <c r="K46" s="32" t="s">
        <v>73</v>
      </c>
      <c r="Z46" s="30">
        <f>ROUND(IF(AQ46="5",BJ46,0),2)</f>
        <v>0</v>
      </c>
      <c r="AB46" s="30">
        <f>ROUND(IF(AQ46="1",BH46,0),2)</f>
        <v>0</v>
      </c>
      <c r="AC46" s="30">
        <f>ROUND(IF(AQ46="1",BI46,0),2)</f>
        <v>0</v>
      </c>
      <c r="AD46" s="30">
        <f>ROUND(IF(AQ46="7",BH46,0),2)</f>
        <v>0</v>
      </c>
      <c r="AE46" s="30">
        <f>ROUND(IF(AQ46="7",BI46,0),2)</f>
        <v>0</v>
      </c>
      <c r="AF46" s="30">
        <f>ROUND(IF(AQ46="2",BH46,0),2)</f>
        <v>0</v>
      </c>
      <c r="AG46" s="30">
        <f>ROUND(IF(AQ46="2",BI46,0),2)</f>
        <v>0</v>
      </c>
      <c r="AH46" s="30">
        <f>ROUND(IF(AQ46="0",BJ46,0),2)</f>
        <v>0</v>
      </c>
      <c r="AI46" s="10" t="s">
        <v>56</v>
      </c>
      <c r="AJ46" s="30">
        <f>IF(AN46=0,J46,0)</f>
        <v>0</v>
      </c>
      <c r="AK46" s="30">
        <f>IF(AN46=12,J46,0)</f>
        <v>0</v>
      </c>
      <c r="AL46" s="30">
        <f>IF(AN46=21,J46,0)</f>
        <v>0</v>
      </c>
      <c r="AN46" s="30">
        <v>21</v>
      </c>
      <c r="AO46" s="30">
        <f>G46*0.640118448</f>
        <v>0</v>
      </c>
      <c r="AP46" s="30">
        <f>G46*(1-0.640118448)</f>
        <v>0</v>
      </c>
      <c r="AQ46" s="33" t="s">
        <v>57</v>
      </c>
      <c r="AV46" s="30">
        <f>ROUND(AW46+AX46,2)</f>
        <v>0</v>
      </c>
      <c r="AW46" s="30">
        <f>ROUND(F46*AO46,2)</f>
        <v>0</v>
      </c>
      <c r="AX46" s="30">
        <f>ROUND(F46*AP46,2)</f>
        <v>0</v>
      </c>
      <c r="AY46" s="33" t="s">
        <v>141</v>
      </c>
      <c r="AZ46" s="33" t="s">
        <v>128</v>
      </c>
      <c r="BA46" s="10" t="s">
        <v>64</v>
      </c>
      <c r="BC46" s="30">
        <f>AW46+AX46</f>
        <v>0</v>
      </c>
      <c r="BD46" s="30">
        <f>G46/(100-BE46)*100</f>
        <v>0</v>
      </c>
      <c r="BE46" s="30">
        <v>0</v>
      </c>
      <c r="BF46" s="30">
        <f>46</f>
        <v>46</v>
      </c>
      <c r="BH46" s="30">
        <f>F46*AO46</f>
        <v>0</v>
      </c>
      <c r="BI46" s="30">
        <f>F46*AP46</f>
        <v>0</v>
      </c>
      <c r="BJ46" s="30">
        <f>F46*G46</f>
        <v>0</v>
      </c>
      <c r="BK46" s="30"/>
      <c r="BL46" s="30">
        <v>59</v>
      </c>
      <c r="BW46" s="30">
        <v>21</v>
      </c>
      <c r="BX46" s="4" t="s">
        <v>140</v>
      </c>
    </row>
    <row r="47" spans="1:76" ht="13.5" customHeight="1" x14ac:dyDescent="0.3">
      <c r="A47" s="34"/>
      <c r="B47" s="35" t="s">
        <v>65</v>
      </c>
      <c r="C47" s="76" t="s">
        <v>142</v>
      </c>
      <c r="D47" s="77"/>
      <c r="E47" s="77"/>
      <c r="F47" s="77"/>
      <c r="G47" s="78"/>
      <c r="H47" s="77"/>
      <c r="I47" s="77"/>
      <c r="J47" s="77"/>
      <c r="K47" s="79"/>
    </row>
    <row r="48" spans="1:76" ht="14.4" x14ac:dyDescent="0.3">
      <c r="A48" s="2" t="s">
        <v>143</v>
      </c>
      <c r="B48" s="3" t="s">
        <v>144</v>
      </c>
      <c r="C48" s="70" t="s">
        <v>145</v>
      </c>
      <c r="D48" s="71"/>
      <c r="E48" s="3" t="s">
        <v>72</v>
      </c>
      <c r="F48" s="30">
        <v>3</v>
      </c>
      <c r="G48" s="31">
        <v>0</v>
      </c>
      <c r="H48" s="30">
        <f>ROUND(F48*AO48,2)</f>
        <v>0</v>
      </c>
      <c r="I48" s="30">
        <f>ROUND(F48*AP48,2)</f>
        <v>0</v>
      </c>
      <c r="J48" s="30">
        <f>ROUND(F48*G48,2)</f>
        <v>0</v>
      </c>
      <c r="K48" s="32" t="s">
        <v>73</v>
      </c>
      <c r="Z48" s="30">
        <f>ROUND(IF(AQ48="5",BJ48,0),2)</f>
        <v>0</v>
      </c>
      <c r="AB48" s="30">
        <f>ROUND(IF(AQ48="1",BH48,0),2)</f>
        <v>0</v>
      </c>
      <c r="AC48" s="30">
        <f>ROUND(IF(AQ48="1",BI48,0),2)</f>
        <v>0</v>
      </c>
      <c r="AD48" s="30">
        <f>ROUND(IF(AQ48="7",BH48,0),2)</f>
        <v>0</v>
      </c>
      <c r="AE48" s="30">
        <f>ROUND(IF(AQ48="7",BI48,0),2)</f>
        <v>0</v>
      </c>
      <c r="AF48" s="30">
        <f>ROUND(IF(AQ48="2",BH48,0),2)</f>
        <v>0</v>
      </c>
      <c r="AG48" s="30">
        <f>ROUND(IF(AQ48="2",BI48,0),2)</f>
        <v>0</v>
      </c>
      <c r="AH48" s="30">
        <f>ROUND(IF(AQ48="0",BJ48,0),2)</f>
        <v>0</v>
      </c>
      <c r="AI48" s="10" t="s">
        <v>56</v>
      </c>
      <c r="AJ48" s="30">
        <f>IF(AN48=0,J48,0)</f>
        <v>0</v>
      </c>
      <c r="AK48" s="30">
        <f>IF(AN48=12,J48,0)</f>
        <v>0</v>
      </c>
      <c r="AL48" s="30">
        <f>IF(AN48=21,J48,0)</f>
        <v>0</v>
      </c>
      <c r="AN48" s="30">
        <v>21</v>
      </c>
      <c r="AO48" s="30">
        <f>G48*0</f>
        <v>0</v>
      </c>
      <c r="AP48" s="30">
        <f>G48*(1-0)</f>
        <v>0</v>
      </c>
      <c r="AQ48" s="33" t="s">
        <v>57</v>
      </c>
      <c r="AV48" s="30">
        <f>ROUND(AW48+AX48,2)</f>
        <v>0</v>
      </c>
      <c r="AW48" s="30">
        <f>ROUND(F48*AO48,2)</f>
        <v>0</v>
      </c>
      <c r="AX48" s="30">
        <f>ROUND(F48*AP48,2)</f>
        <v>0</v>
      </c>
      <c r="AY48" s="33" t="s">
        <v>141</v>
      </c>
      <c r="AZ48" s="33" t="s">
        <v>128</v>
      </c>
      <c r="BA48" s="10" t="s">
        <v>64</v>
      </c>
      <c r="BC48" s="30">
        <f>AW48+AX48</f>
        <v>0</v>
      </c>
      <c r="BD48" s="30">
        <f>G48/(100-BE48)*100</f>
        <v>0</v>
      </c>
      <c r="BE48" s="30">
        <v>0</v>
      </c>
      <c r="BF48" s="30">
        <f>48</f>
        <v>48</v>
      </c>
      <c r="BH48" s="30">
        <f>F48*AO48</f>
        <v>0</v>
      </c>
      <c r="BI48" s="30">
        <f>F48*AP48</f>
        <v>0</v>
      </c>
      <c r="BJ48" s="30">
        <f>F48*G48</f>
        <v>0</v>
      </c>
      <c r="BK48" s="30"/>
      <c r="BL48" s="30">
        <v>59</v>
      </c>
      <c r="BW48" s="30">
        <v>21</v>
      </c>
      <c r="BX48" s="4" t="s">
        <v>145</v>
      </c>
    </row>
    <row r="49" spans="1:76" ht="14.4" x14ac:dyDescent="0.3">
      <c r="A49" s="2" t="s">
        <v>146</v>
      </c>
      <c r="B49" s="3" t="s">
        <v>147</v>
      </c>
      <c r="C49" s="70" t="s">
        <v>148</v>
      </c>
      <c r="D49" s="71"/>
      <c r="E49" s="3" t="s">
        <v>72</v>
      </c>
      <c r="F49" s="30">
        <v>4</v>
      </c>
      <c r="G49" s="31">
        <v>0</v>
      </c>
      <c r="H49" s="30">
        <f>ROUND(F49*AO49,2)</f>
        <v>0</v>
      </c>
      <c r="I49" s="30">
        <f>ROUND(F49*AP49,2)</f>
        <v>0</v>
      </c>
      <c r="J49" s="30">
        <f>ROUND(F49*G49,2)</f>
        <v>0</v>
      </c>
      <c r="K49" s="32" t="s">
        <v>73</v>
      </c>
      <c r="Z49" s="30">
        <f>ROUND(IF(AQ49="5",BJ49,0),2)</f>
        <v>0</v>
      </c>
      <c r="AB49" s="30">
        <f>ROUND(IF(AQ49="1",BH49,0),2)</f>
        <v>0</v>
      </c>
      <c r="AC49" s="30">
        <f>ROUND(IF(AQ49="1",BI49,0),2)</f>
        <v>0</v>
      </c>
      <c r="AD49" s="30">
        <f>ROUND(IF(AQ49="7",BH49,0),2)</f>
        <v>0</v>
      </c>
      <c r="AE49" s="30">
        <f>ROUND(IF(AQ49="7",BI49,0),2)</f>
        <v>0</v>
      </c>
      <c r="AF49" s="30">
        <f>ROUND(IF(AQ49="2",BH49,0),2)</f>
        <v>0</v>
      </c>
      <c r="AG49" s="30">
        <f>ROUND(IF(AQ49="2",BI49,0),2)</f>
        <v>0</v>
      </c>
      <c r="AH49" s="30">
        <f>ROUND(IF(AQ49="0",BJ49,0),2)</f>
        <v>0</v>
      </c>
      <c r="AI49" s="10" t="s">
        <v>56</v>
      </c>
      <c r="AJ49" s="30">
        <f>IF(AN49=0,J49,0)</f>
        <v>0</v>
      </c>
      <c r="AK49" s="30">
        <f>IF(AN49=12,J49,0)</f>
        <v>0</v>
      </c>
      <c r="AL49" s="30">
        <f>IF(AN49=21,J49,0)</f>
        <v>0</v>
      </c>
      <c r="AN49" s="30">
        <v>21</v>
      </c>
      <c r="AO49" s="30">
        <f>G49*1</f>
        <v>0</v>
      </c>
      <c r="AP49" s="30">
        <f>G49*(1-1)</f>
        <v>0</v>
      </c>
      <c r="AQ49" s="33" t="s">
        <v>57</v>
      </c>
      <c r="AV49" s="30">
        <f>ROUND(AW49+AX49,2)</f>
        <v>0</v>
      </c>
      <c r="AW49" s="30">
        <f>ROUND(F49*AO49,2)</f>
        <v>0</v>
      </c>
      <c r="AX49" s="30">
        <f>ROUND(F49*AP49,2)</f>
        <v>0</v>
      </c>
      <c r="AY49" s="33" t="s">
        <v>141</v>
      </c>
      <c r="AZ49" s="33" t="s">
        <v>128</v>
      </c>
      <c r="BA49" s="10" t="s">
        <v>64</v>
      </c>
      <c r="BC49" s="30">
        <f>AW49+AX49</f>
        <v>0</v>
      </c>
      <c r="BD49" s="30">
        <f>G49/(100-BE49)*100</f>
        <v>0</v>
      </c>
      <c r="BE49" s="30">
        <v>0</v>
      </c>
      <c r="BF49" s="30">
        <f>49</f>
        <v>49</v>
      </c>
      <c r="BH49" s="30">
        <f>F49*AO49</f>
        <v>0</v>
      </c>
      <c r="BI49" s="30">
        <f>F49*AP49</f>
        <v>0</v>
      </c>
      <c r="BJ49" s="30">
        <f>F49*G49</f>
        <v>0</v>
      </c>
      <c r="BK49" s="30"/>
      <c r="BL49" s="30">
        <v>59</v>
      </c>
      <c r="BW49" s="30">
        <v>21</v>
      </c>
      <c r="BX49" s="4" t="s">
        <v>148</v>
      </c>
    </row>
    <row r="50" spans="1:76" ht="26.4" x14ac:dyDescent="0.3">
      <c r="A50" s="34"/>
      <c r="B50" s="35" t="s">
        <v>77</v>
      </c>
      <c r="C50" s="80" t="s">
        <v>149</v>
      </c>
      <c r="D50" s="81"/>
      <c r="E50" s="81"/>
      <c r="F50" s="81"/>
      <c r="G50" s="82"/>
      <c r="H50" s="81"/>
      <c r="I50" s="81"/>
      <c r="J50" s="81"/>
      <c r="K50" s="83"/>
      <c r="BX50" s="36" t="s">
        <v>149</v>
      </c>
    </row>
    <row r="51" spans="1:76" ht="14.4" x14ac:dyDescent="0.3">
      <c r="A51" s="25" t="s">
        <v>52</v>
      </c>
      <c r="B51" s="26" t="s">
        <v>150</v>
      </c>
      <c r="C51" s="72" t="s">
        <v>151</v>
      </c>
      <c r="D51" s="73"/>
      <c r="E51" s="27" t="s">
        <v>4</v>
      </c>
      <c r="F51" s="27" t="s">
        <v>4</v>
      </c>
      <c r="G51" s="28" t="s">
        <v>4</v>
      </c>
      <c r="H51" s="1">
        <f>SUM(H52:H58)</f>
        <v>0</v>
      </c>
      <c r="I51" s="1">
        <f>SUM(I52:I58)</f>
        <v>0</v>
      </c>
      <c r="J51" s="1">
        <f>SUM(J52:J58)</f>
        <v>0</v>
      </c>
      <c r="K51" s="29" t="s">
        <v>52</v>
      </c>
      <c r="AI51" s="10" t="s">
        <v>56</v>
      </c>
      <c r="AS51" s="1">
        <f>SUM(AJ52:AJ58)</f>
        <v>0</v>
      </c>
      <c r="AT51" s="1">
        <f>SUM(AK52:AK58)</f>
        <v>0</v>
      </c>
      <c r="AU51" s="1">
        <f>SUM(AL52:AL58)</f>
        <v>0</v>
      </c>
    </row>
    <row r="52" spans="1:76" ht="14.4" x14ac:dyDescent="0.3">
      <c r="A52" s="2" t="s">
        <v>152</v>
      </c>
      <c r="B52" s="3" t="s">
        <v>153</v>
      </c>
      <c r="C52" s="70" t="s">
        <v>154</v>
      </c>
      <c r="D52" s="71"/>
      <c r="E52" s="3" t="s">
        <v>155</v>
      </c>
      <c r="F52" s="30">
        <v>19.5</v>
      </c>
      <c r="G52" s="31">
        <v>0</v>
      </c>
      <c r="H52" s="30">
        <f>ROUND(F52*AO52,2)</f>
        <v>0</v>
      </c>
      <c r="I52" s="30">
        <f>ROUND(F52*AP52,2)</f>
        <v>0</v>
      </c>
      <c r="J52" s="30">
        <f>ROUND(F52*G52,2)</f>
        <v>0</v>
      </c>
      <c r="K52" s="32" t="s">
        <v>73</v>
      </c>
      <c r="Z52" s="30">
        <f>ROUND(IF(AQ52="5",BJ52,0),2)</f>
        <v>0</v>
      </c>
      <c r="AB52" s="30">
        <f>ROUND(IF(AQ52="1",BH52,0),2)</f>
        <v>0</v>
      </c>
      <c r="AC52" s="30">
        <f>ROUND(IF(AQ52="1",BI52,0),2)</f>
        <v>0</v>
      </c>
      <c r="AD52" s="30">
        <f>ROUND(IF(AQ52="7",BH52,0),2)</f>
        <v>0</v>
      </c>
      <c r="AE52" s="30">
        <f>ROUND(IF(AQ52="7",BI52,0),2)</f>
        <v>0</v>
      </c>
      <c r="AF52" s="30">
        <f>ROUND(IF(AQ52="2",BH52,0),2)</f>
        <v>0</v>
      </c>
      <c r="AG52" s="30">
        <f>ROUND(IF(AQ52="2",BI52,0),2)</f>
        <v>0</v>
      </c>
      <c r="AH52" s="30">
        <f>ROUND(IF(AQ52="0",BJ52,0),2)</f>
        <v>0</v>
      </c>
      <c r="AI52" s="10" t="s">
        <v>56</v>
      </c>
      <c r="AJ52" s="30">
        <f>IF(AN52=0,J52,0)</f>
        <v>0</v>
      </c>
      <c r="AK52" s="30">
        <f>IF(AN52=12,J52,0)</f>
        <v>0</v>
      </c>
      <c r="AL52" s="30">
        <f>IF(AN52=21,J52,0)</f>
        <v>0</v>
      </c>
      <c r="AN52" s="30">
        <v>21</v>
      </c>
      <c r="AO52" s="30">
        <f>G52*0</f>
        <v>0</v>
      </c>
      <c r="AP52" s="30">
        <f>G52*(1-0)</f>
        <v>0</v>
      </c>
      <c r="AQ52" s="33" t="s">
        <v>57</v>
      </c>
      <c r="AV52" s="30">
        <f>ROUND(AW52+AX52,2)</f>
        <v>0</v>
      </c>
      <c r="AW52" s="30">
        <f>ROUND(F52*AO52,2)</f>
        <v>0</v>
      </c>
      <c r="AX52" s="30">
        <f>ROUND(F52*AP52,2)</f>
        <v>0</v>
      </c>
      <c r="AY52" s="33" t="s">
        <v>156</v>
      </c>
      <c r="AZ52" s="33" t="s">
        <v>157</v>
      </c>
      <c r="BA52" s="10" t="s">
        <v>64</v>
      </c>
      <c r="BC52" s="30">
        <f>AW52+AX52</f>
        <v>0</v>
      </c>
      <c r="BD52" s="30">
        <f>G52/(100-BE52)*100</f>
        <v>0</v>
      </c>
      <c r="BE52" s="30">
        <v>0</v>
      </c>
      <c r="BF52" s="30">
        <f>52</f>
        <v>52</v>
      </c>
      <c r="BH52" s="30">
        <f>F52*AO52</f>
        <v>0</v>
      </c>
      <c r="BI52" s="30">
        <f>F52*AP52</f>
        <v>0</v>
      </c>
      <c r="BJ52" s="30">
        <f>F52*G52</f>
        <v>0</v>
      </c>
      <c r="BK52" s="30"/>
      <c r="BL52" s="30">
        <v>91</v>
      </c>
      <c r="BW52" s="30">
        <v>21</v>
      </c>
      <c r="BX52" s="4" t="s">
        <v>154</v>
      </c>
    </row>
    <row r="53" spans="1:76" ht="13.5" customHeight="1" x14ac:dyDescent="0.3">
      <c r="A53" s="34"/>
      <c r="B53" s="35" t="s">
        <v>65</v>
      </c>
      <c r="C53" s="76" t="s">
        <v>158</v>
      </c>
      <c r="D53" s="77"/>
      <c r="E53" s="77"/>
      <c r="F53" s="77"/>
      <c r="G53" s="78"/>
      <c r="H53" s="77"/>
      <c r="I53" s="77"/>
      <c r="J53" s="77"/>
      <c r="K53" s="79"/>
    </row>
    <row r="54" spans="1:76" ht="26.4" x14ac:dyDescent="0.3">
      <c r="A54" s="34"/>
      <c r="B54" s="35" t="s">
        <v>77</v>
      </c>
      <c r="C54" s="80" t="s">
        <v>159</v>
      </c>
      <c r="D54" s="81"/>
      <c r="E54" s="81"/>
      <c r="F54" s="81"/>
      <c r="G54" s="82"/>
      <c r="H54" s="81"/>
      <c r="I54" s="81"/>
      <c r="J54" s="81"/>
      <c r="K54" s="83"/>
      <c r="BX54" s="36" t="s">
        <v>159</v>
      </c>
    </row>
    <row r="55" spans="1:76" ht="14.4" x14ac:dyDescent="0.3">
      <c r="A55" s="2" t="s">
        <v>160</v>
      </c>
      <c r="B55" s="3" t="s">
        <v>161</v>
      </c>
      <c r="C55" s="70" t="s">
        <v>162</v>
      </c>
      <c r="D55" s="71"/>
      <c r="E55" s="3" t="s">
        <v>163</v>
      </c>
      <c r="F55" s="30">
        <v>0.03</v>
      </c>
      <c r="G55" s="31">
        <v>0</v>
      </c>
      <c r="H55" s="30">
        <f>ROUND(F55*AO55,2)</f>
        <v>0</v>
      </c>
      <c r="I55" s="30">
        <f>ROUND(F55*AP55,2)</f>
        <v>0</v>
      </c>
      <c r="J55" s="30">
        <f>ROUND(F55*G55,2)</f>
        <v>0</v>
      </c>
      <c r="K55" s="32" t="s">
        <v>73</v>
      </c>
      <c r="Z55" s="30">
        <f>ROUND(IF(AQ55="5",BJ55,0),2)</f>
        <v>0</v>
      </c>
      <c r="AB55" s="30">
        <f>ROUND(IF(AQ55="1",BH55,0),2)</f>
        <v>0</v>
      </c>
      <c r="AC55" s="30">
        <f>ROUND(IF(AQ55="1",BI55,0),2)</f>
        <v>0</v>
      </c>
      <c r="AD55" s="30">
        <f>ROUND(IF(AQ55="7",BH55,0),2)</f>
        <v>0</v>
      </c>
      <c r="AE55" s="30">
        <f>ROUND(IF(AQ55="7",BI55,0),2)</f>
        <v>0</v>
      </c>
      <c r="AF55" s="30">
        <f>ROUND(IF(AQ55="2",BH55,0),2)</f>
        <v>0</v>
      </c>
      <c r="AG55" s="30">
        <f>ROUND(IF(AQ55="2",BI55,0),2)</f>
        <v>0</v>
      </c>
      <c r="AH55" s="30">
        <f>ROUND(IF(AQ55="0",BJ55,0),2)</f>
        <v>0</v>
      </c>
      <c r="AI55" s="10" t="s">
        <v>56</v>
      </c>
      <c r="AJ55" s="30">
        <f>IF(AN55=0,J55,0)</f>
        <v>0</v>
      </c>
      <c r="AK55" s="30">
        <f>IF(AN55=12,J55,0)</f>
        <v>0</v>
      </c>
      <c r="AL55" s="30">
        <f>IF(AN55=21,J55,0)</f>
        <v>0</v>
      </c>
      <c r="AN55" s="30">
        <v>21</v>
      </c>
      <c r="AO55" s="30">
        <f>G55*1</f>
        <v>0</v>
      </c>
      <c r="AP55" s="30">
        <f>G55*(1-1)</f>
        <v>0</v>
      </c>
      <c r="AQ55" s="33" t="s">
        <v>57</v>
      </c>
      <c r="AV55" s="30">
        <f>ROUND(AW55+AX55,2)</f>
        <v>0</v>
      </c>
      <c r="AW55" s="30">
        <f>ROUND(F55*AO55,2)</f>
        <v>0</v>
      </c>
      <c r="AX55" s="30">
        <f>ROUND(F55*AP55,2)</f>
        <v>0</v>
      </c>
      <c r="AY55" s="33" t="s">
        <v>156</v>
      </c>
      <c r="AZ55" s="33" t="s">
        <v>157</v>
      </c>
      <c r="BA55" s="10" t="s">
        <v>64</v>
      </c>
      <c r="BC55" s="30">
        <f>AW55+AX55</f>
        <v>0</v>
      </c>
      <c r="BD55" s="30">
        <f>G55/(100-BE55)*100</f>
        <v>0</v>
      </c>
      <c r="BE55" s="30">
        <v>0</v>
      </c>
      <c r="BF55" s="30">
        <f>55</f>
        <v>55</v>
      </c>
      <c r="BH55" s="30">
        <f>F55*AO55</f>
        <v>0</v>
      </c>
      <c r="BI55" s="30">
        <f>F55*AP55</f>
        <v>0</v>
      </c>
      <c r="BJ55" s="30">
        <f>F55*G55</f>
        <v>0</v>
      </c>
      <c r="BK55" s="30"/>
      <c r="BL55" s="30">
        <v>91</v>
      </c>
      <c r="BW55" s="30">
        <v>21</v>
      </c>
      <c r="BX55" s="4" t="s">
        <v>162</v>
      </c>
    </row>
    <row r="56" spans="1:76" ht="14.4" x14ac:dyDescent="0.3">
      <c r="A56" s="34"/>
      <c r="C56" s="37" t="s">
        <v>164</v>
      </c>
      <c r="D56" s="37" t="s">
        <v>52</v>
      </c>
      <c r="F56" s="38">
        <v>0.03</v>
      </c>
      <c r="K56" s="39"/>
    </row>
    <row r="57" spans="1:76" ht="14.4" x14ac:dyDescent="0.3">
      <c r="A57" s="34"/>
      <c r="B57" s="35" t="s">
        <v>77</v>
      </c>
      <c r="C57" s="80" t="s">
        <v>165</v>
      </c>
      <c r="D57" s="81"/>
      <c r="E57" s="81"/>
      <c r="F57" s="81"/>
      <c r="G57" s="82"/>
      <c r="H57" s="81"/>
      <c r="I57" s="81"/>
      <c r="J57" s="81"/>
      <c r="K57" s="83"/>
      <c r="BX57" s="36" t="s">
        <v>165</v>
      </c>
    </row>
    <row r="58" spans="1:76" ht="14.4" x14ac:dyDescent="0.3">
      <c r="A58" s="2" t="s">
        <v>92</v>
      </c>
      <c r="B58" s="3" t="s">
        <v>166</v>
      </c>
      <c r="C58" s="70" t="s">
        <v>167</v>
      </c>
      <c r="D58" s="71"/>
      <c r="E58" s="3" t="s">
        <v>168</v>
      </c>
      <c r="F58" s="30">
        <v>22</v>
      </c>
      <c r="G58" s="31">
        <v>0</v>
      </c>
      <c r="H58" s="30">
        <f>ROUND(F58*AO58,2)</f>
        <v>0</v>
      </c>
      <c r="I58" s="30">
        <f>ROUND(F58*AP58,2)</f>
        <v>0</v>
      </c>
      <c r="J58" s="30">
        <f>ROUND(F58*G58,2)</f>
        <v>0</v>
      </c>
      <c r="K58" s="32" t="s">
        <v>169</v>
      </c>
      <c r="Z58" s="30">
        <f>ROUND(IF(AQ58="5",BJ58,0),2)</f>
        <v>0</v>
      </c>
      <c r="AB58" s="30">
        <f>ROUND(IF(AQ58="1",BH58,0),2)</f>
        <v>0</v>
      </c>
      <c r="AC58" s="30">
        <f>ROUND(IF(AQ58="1",BI58,0),2)</f>
        <v>0</v>
      </c>
      <c r="AD58" s="30">
        <f>ROUND(IF(AQ58="7",BH58,0),2)</f>
        <v>0</v>
      </c>
      <c r="AE58" s="30">
        <f>ROUND(IF(AQ58="7",BI58,0),2)</f>
        <v>0</v>
      </c>
      <c r="AF58" s="30">
        <f>ROUND(IF(AQ58="2",BH58,0),2)</f>
        <v>0</v>
      </c>
      <c r="AG58" s="30">
        <f>ROUND(IF(AQ58="2",BI58,0),2)</f>
        <v>0</v>
      </c>
      <c r="AH58" s="30">
        <f>ROUND(IF(AQ58="0",BJ58,0),2)</f>
        <v>0</v>
      </c>
      <c r="AI58" s="10" t="s">
        <v>56</v>
      </c>
      <c r="AJ58" s="30">
        <f>IF(AN58=0,J58,0)</f>
        <v>0</v>
      </c>
      <c r="AK58" s="30">
        <f>IF(AN58=12,J58,0)</f>
        <v>0</v>
      </c>
      <c r="AL58" s="30">
        <f>IF(AN58=21,J58,0)</f>
        <v>0</v>
      </c>
      <c r="AN58" s="30">
        <v>21</v>
      </c>
      <c r="AO58" s="30">
        <f>G58*1</f>
        <v>0</v>
      </c>
      <c r="AP58" s="30">
        <f>G58*(1-1)</f>
        <v>0</v>
      </c>
      <c r="AQ58" s="33" t="s">
        <v>57</v>
      </c>
      <c r="AV58" s="30">
        <f>ROUND(AW58+AX58,2)</f>
        <v>0</v>
      </c>
      <c r="AW58" s="30">
        <f>ROUND(F58*AO58,2)</f>
        <v>0</v>
      </c>
      <c r="AX58" s="30">
        <f>ROUND(F58*AP58,2)</f>
        <v>0</v>
      </c>
      <c r="AY58" s="33" t="s">
        <v>156</v>
      </c>
      <c r="AZ58" s="33" t="s">
        <v>157</v>
      </c>
      <c r="BA58" s="10" t="s">
        <v>64</v>
      </c>
      <c r="BC58" s="30">
        <f>AW58+AX58</f>
        <v>0</v>
      </c>
      <c r="BD58" s="30">
        <f>G58/(100-BE58)*100</f>
        <v>0</v>
      </c>
      <c r="BE58" s="30">
        <v>0</v>
      </c>
      <c r="BF58" s="30">
        <f>58</f>
        <v>58</v>
      </c>
      <c r="BH58" s="30">
        <f>F58*AO58</f>
        <v>0</v>
      </c>
      <c r="BI58" s="30">
        <f>F58*AP58</f>
        <v>0</v>
      </c>
      <c r="BJ58" s="30">
        <f>F58*G58</f>
        <v>0</v>
      </c>
      <c r="BK58" s="30"/>
      <c r="BL58" s="30">
        <v>91</v>
      </c>
      <c r="BW58" s="30">
        <v>21</v>
      </c>
      <c r="BX58" s="4" t="s">
        <v>167</v>
      </c>
    </row>
    <row r="59" spans="1:76" ht="14.4" x14ac:dyDescent="0.3">
      <c r="A59" s="25" t="s">
        <v>52</v>
      </c>
      <c r="B59" s="26" t="s">
        <v>52</v>
      </c>
      <c r="C59" s="72" t="s">
        <v>170</v>
      </c>
      <c r="D59" s="73"/>
      <c r="E59" s="27" t="s">
        <v>4</v>
      </c>
      <c r="F59" s="27" t="s">
        <v>4</v>
      </c>
      <c r="G59" s="28" t="s">
        <v>4</v>
      </c>
      <c r="H59" s="1">
        <f>H60+H63+H71</f>
        <v>0</v>
      </c>
      <c r="I59" s="1">
        <f>I60+I63+I71</f>
        <v>0</v>
      </c>
      <c r="J59" s="1">
        <f>J60+J63+J71</f>
        <v>0</v>
      </c>
      <c r="K59" s="29" t="s">
        <v>52</v>
      </c>
    </row>
    <row r="60" spans="1:76" ht="14.4" x14ac:dyDescent="0.3">
      <c r="A60" s="25" t="s">
        <v>52</v>
      </c>
      <c r="B60" s="26" t="s">
        <v>79</v>
      </c>
      <c r="C60" s="72" t="s">
        <v>80</v>
      </c>
      <c r="D60" s="73"/>
      <c r="E60" s="27" t="s">
        <v>4</v>
      </c>
      <c r="F60" s="27" t="s">
        <v>4</v>
      </c>
      <c r="G60" s="28" t="s">
        <v>4</v>
      </c>
      <c r="H60" s="1">
        <f>SUM(H61:H61)</f>
        <v>0</v>
      </c>
      <c r="I60" s="1">
        <f>SUM(I61:I61)</f>
        <v>0</v>
      </c>
      <c r="J60" s="1">
        <f>SUM(J61:J61)</f>
        <v>0</v>
      </c>
      <c r="K60" s="29" t="s">
        <v>52</v>
      </c>
      <c r="AI60" s="10" t="s">
        <v>171</v>
      </c>
      <c r="AS60" s="1">
        <f>SUM(AJ61:AJ61)</f>
        <v>0</v>
      </c>
      <c r="AT60" s="1">
        <f>SUM(AK61:AK61)</f>
        <v>0</v>
      </c>
      <c r="AU60" s="1">
        <f>SUM(AL61:AL61)</f>
        <v>0</v>
      </c>
    </row>
    <row r="61" spans="1:76" ht="14.4" x14ac:dyDescent="0.3">
      <c r="A61" s="2" t="s">
        <v>172</v>
      </c>
      <c r="B61" s="3" t="s">
        <v>88</v>
      </c>
      <c r="C61" s="70" t="s">
        <v>89</v>
      </c>
      <c r="D61" s="71"/>
      <c r="E61" s="3" t="s">
        <v>84</v>
      </c>
      <c r="F61" s="30">
        <v>4.82</v>
      </c>
      <c r="G61" s="31">
        <v>0</v>
      </c>
      <c r="H61" s="30">
        <f>ROUND(F61*AO61,2)</f>
        <v>0</v>
      </c>
      <c r="I61" s="30">
        <f>ROUND(F61*AP61,2)</f>
        <v>0</v>
      </c>
      <c r="J61" s="30">
        <f>ROUND(F61*G61,2)</f>
        <v>0</v>
      </c>
      <c r="K61" s="32" t="s">
        <v>73</v>
      </c>
      <c r="Z61" s="30">
        <f>ROUND(IF(AQ61="5",BJ61,0),2)</f>
        <v>0</v>
      </c>
      <c r="AB61" s="30">
        <f>ROUND(IF(AQ61="1",BH61,0),2)</f>
        <v>0</v>
      </c>
      <c r="AC61" s="30">
        <f>ROUND(IF(AQ61="1",BI61,0),2)</f>
        <v>0</v>
      </c>
      <c r="AD61" s="30">
        <f>ROUND(IF(AQ61="7",BH61,0),2)</f>
        <v>0</v>
      </c>
      <c r="AE61" s="30">
        <f>ROUND(IF(AQ61="7",BI61,0),2)</f>
        <v>0</v>
      </c>
      <c r="AF61" s="30">
        <f>ROUND(IF(AQ61="2",BH61,0),2)</f>
        <v>0</v>
      </c>
      <c r="AG61" s="30">
        <f>ROUND(IF(AQ61="2",BI61,0),2)</f>
        <v>0</v>
      </c>
      <c r="AH61" s="30">
        <f>ROUND(IF(AQ61="0",BJ61,0),2)</f>
        <v>0</v>
      </c>
      <c r="AI61" s="10" t="s">
        <v>171</v>
      </c>
      <c r="AJ61" s="30">
        <f>IF(AN61=0,J61,0)</f>
        <v>0</v>
      </c>
      <c r="AK61" s="30">
        <f>IF(AN61=12,J61,0)</f>
        <v>0</v>
      </c>
      <c r="AL61" s="30">
        <f>IF(AN61=21,J61,0)</f>
        <v>0</v>
      </c>
      <c r="AN61" s="30">
        <v>21</v>
      </c>
      <c r="AO61" s="30">
        <f>G61*0</f>
        <v>0</v>
      </c>
      <c r="AP61" s="30">
        <f>G61*(1-0)</f>
        <v>0</v>
      </c>
      <c r="AQ61" s="33" t="s">
        <v>57</v>
      </c>
      <c r="AV61" s="30">
        <f>ROUND(AW61+AX61,2)</f>
        <v>0</v>
      </c>
      <c r="AW61" s="30">
        <f>ROUND(F61*AO61,2)</f>
        <v>0</v>
      </c>
      <c r="AX61" s="30">
        <f>ROUND(F61*AP61,2)</f>
        <v>0</v>
      </c>
      <c r="AY61" s="33" t="s">
        <v>85</v>
      </c>
      <c r="AZ61" s="33" t="s">
        <v>173</v>
      </c>
      <c r="BA61" s="10" t="s">
        <v>174</v>
      </c>
      <c r="BC61" s="30">
        <f>AW61+AX61</f>
        <v>0</v>
      </c>
      <c r="BD61" s="30">
        <f>G61/(100-BE61)*100</f>
        <v>0</v>
      </c>
      <c r="BE61" s="30">
        <v>0</v>
      </c>
      <c r="BF61" s="30">
        <f>61</f>
        <v>61</v>
      </c>
      <c r="BH61" s="30">
        <f>F61*AO61</f>
        <v>0</v>
      </c>
      <c r="BI61" s="30">
        <f>F61*AP61</f>
        <v>0</v>
      </c>
      <c r="BJ61" s="30">
        <f>F61*G61</f>
        <v>0</v>
      </c>
      <c r="BK61" s="30"/>
      <c r="BL61" s="30">
        <v>12</v>
      </c>
      <c r="BW61" s="30">
        <v>21</v>
      </c>
      <c r="BX61" s="4" t="s">
        <v>89</v>
      </c>
    </row>
    <row r="62" spans="1:76" ht="13.5" customHeight="1" x14ac:dyDescent="0.3">
      <c r="A62" s="34"/>
      <c r="B62" s="35" t="s">
        <v>65</v>
      </c>
      <c r="C62" s="76" t="s">
        <v>90</v>
      </c>
      <c r="D62" s="77"/>
      <c r="E62" s="77"/>
      <c r="F62" s="77"/>
      <c r="G62" s="78"/>
      <c r="H62" s="77"/>
      <c r="I62" s="77"/>
      <c r="J62" s="77"/>
      <c r="K62" s="79"/>
    </row>
    <row r="63" spans="1:76" ht="14.4" x14ac:dyDescent="0.3">
      <c r="A63" s="25" t="s">
        <v>52</v>
      </c>
      <c r="B63" s="26" t="s">
        <v>175</v>
      </c>
      <c r="C63" s="72" t="s">
        <v>176</v>
      </c>
      <c r="D63" s="73"/>
      <c r="E63" s="27" t="s">
        <v>4</v>
      </c>
      <c r="F63" s="27" t="s">
        <v>4</v>
      </c>
      <c r="G63" s="28" t="s">
        <v>4</v>
      </c>
      <c r="H63" s="1">
        <f>SUM(H64:H70)</f>
        <v>0</v>
      </c>
      <c r="I63" s="1">
        <f>SUM(I64:I70)</f>
        <v>0</v>
      </c>
      <c r="J63" s="1">
        <f>SUM(J64:J70)</f>
        <v>0</v>
      </c>
      <c r="K63" s="29" t="s">
        <v>52</v>
      </c>
      <c r="AI63" s="10" t="s">
        <v>171</v>
      </c>
      <c r="AS63" s="1">
        <f>SUM(AJ64:AJ70)</f>
        <v>0</v>
      </c>
      <c r="AT63" s="1">
        <f>SUM(AK64:AK70)</f>
        <v>0</v>
      </c>
      <c r="AU63" s="1">
        <f>SUM(AL64:AL70)</f>
        <v>0</v>
      </c>
    </row>
    <row r="64" spans="1:76" ht="14.4" x14ac:dyDescent="0.3">
      <c r="A64" s="2" t="s">
        <v>177</v>
      </c>
      <c r="B64" s="3" t="s">
        <v>178</v>
      </c>
      <c r="C64" s="70" t="s">
        <v>179</v>
      </c>
      <c r="D64" s="71"/>
      <c r="E64" s="3" t="s">
        <v>180</v>
      </c>
      <c r="F64" s="30">
        <v>5</v>
      </c>
      <c r="G64" s="31">
        <v>0</v>
      </c>
      <c r="H64" s="30">
        <f>ROUND(F64*AO64,2)</f>
        <v>0</v>
      </c>
      <c r="I64" s="30">
        <f>ROUND(F64*AP64,2)</f>
        <v>0</v>
      </c>
      <c r="J64" s="30">
        <f>ROUND(F64*G64,2)</f>
        <v>0</v>
      </c>
      <c r="K64" s="32" t="s">
        <v>73</v>
      </c>
      <c r="Z64" s="30">
        <f>ROUND(IF(AQ64="5",BJ64,0),2)</f>
        <v>0</v>
      </c>
      <c r="AB64" s="30">
        <f>ROUND(IF(AQ64="1",BH64,0),2)</f>
        <v>0</v>
      </c>
      <c r="AC64" s="30">
        <f>ROUND(IF(AQ64="1",BI64,0),2)</f>
        <v>0</v>
      </c>
      <c r="AD64" s="30">
        <f>ROUND(IF(AQ64="7",BH64,0),2)</f>
        <v>0</v>
      </c>
      <c r="AE64" s="30">
        <f>ROUND(IF(AQ64="7",BI64,0),2)</f>
        <v>0</v>
      </c>
      <c r="AF64" s="30">
        <f>ROUND(IF(AQ64="2",BH64,0),2)</f>
        <v>0</v>
      </c>
      <c r="AG64" s="30">
        <f>ROUND(IF(AQ64="2",BI64,0),2)</f>
        <v>0</v>
      </c>
      <c r="AH64" s="30">
        <f>ROUND(IF(AQ64="0",BJ64,0),2)</f>
        <v>0</v>
      </c>
      <c r="AI64" s="10" t="s">
        <v>171</v>
      </c>
      <c r="AJ64" s="30">
        <f>IF(AN64=0,J64,0)</f>
        <v>0</v>
      </c>
      <c r="AK64" s="30">
        <f>IF(AN64=12,J64,0)</f>
        <v>0</v>
      </c>
      <c r="AL64" s="30">
        <f>IF(AN64=21,J64,0)</f>
        <v>0</v>
      </c>
      <c r="AN64" s="30">
        <v>21</v>
      </c>
      <c r="AO64" s="30">
        <f>G64*0.207546296</f>
        <v>0</v>
      </c>
      <c r="AP64" s="30">
        <f>G64*(1-0.207546296)</f>
        <v>0</v>
      </c>
      <c r="AQ64" s="33" t="s">
        <v>57</v>
      </c>
      <c r="AV64" s="30">
        <f>ROUND(AW64+AX64,2)</f>
        <v>0</v>
      </c>
      <c r="AW64" s="30">
        <f>ROUND(F64*AO64,2)</f>
        <v>0</v>
      </c>
      <c r="AX64" s="30">
        <f>ROUND(F64*AP64,2)</f>
        <v>0</v>
      </c>
      <c r="AY64" s="33" t="s">
        <v>181</v>
      </c>
      <c r="AZ64" s="33" t="s">
        <v>182</v>
      </c>
      <c r="BA64" s="10" t="s">
        <v>174</v>
      </c>
      <c r="BC64" s="30">
        <f>AW64+AX64</f>
        <v>0</v>
      </c>
      <c r="BD64" s="30">
        <f>G64/(100-BE64)*100</f>
        <v>0</v>
      </c>
      <c r="BE64" s="30">
        <v>0</v>
      </c>
      <c r="BF64" s="30">
        <f>64</f>
        <v>64</v>
      </c>
      <c r="BH64" s="30">
        <f>F64*AO64</f>
        <v>0</v>
      </c>
      <c r="BI64" s="30">
        <f>F64*AP64</f>
        <v>0</v>
      </c>
      <c r="BJ64" s="30">
        <f>F64*G64</f>
        <v>0</v>
      </c>
      <c r="BK64" s="30"/>
      <c r="BL64" s="30">
        <v>93</v>
      </c>
      <c r="BW64" s="30">
        <v>21</v>
      </c>
      <c r="BX64" s="4" t="s">
        <v>179</v>
      </c>
    </row>
    <row r="65" spans="1:76" ht="13.5" customHeight="1" x14ac:dyDescent="0.3">
      <c r="A65" s="34"/>
      <c r="B65" s="35" t="s">
        <v>65</v>
      </c>
      <c r="C65" s="76" t="s">
        <v>183</v>
      </c>
      <c r="D65" s="77"/>
      <c r="E65" s="77"/>
      <c r="F65" s="77"/>
      <c r="G65" s="78"/>
      <c r="H65" s="77"/>
      <c r="I65" s="77"/>
      <c r="J65" s="77"/>
      <c r="K65" s="79"/>
    </row>
    <row r="66" spans="1:76" ht="26.4" x14ac:dyDescent="0.3">
      <c r="A66" s="2" t="s">
        <v>184</v>
      </c>
      <c r="B66" s="3" t="s">
        <v>185</v>
      </c>
      <c r="C66" s="70" t="s">
        <v>186</v>
      </c>
      <c r="D66" s="71"/>
      <c r="E66" s="3" t="s">
        <v>187</v>
      </c>
      <c r="F66" s="30">
        <v>1</v>
      </c>
      <c r="G66" s="31">
        <v>0</v>
      </c>
      <c r="H66" s="30">
        <f>ROUND(F66*AO66,2)</f>
        <v>0</v>
      </c>
      <c r="I66" s="30">
        <f>ROUND(F66*AP66,2)</f>
        <v>0</v>
      </c>
      <c r="J66" s="30">
        <f>ROUND(F66*G66,2)</f>
        <v>0</v>
      </c>
      <c r="K66" s="32" t="s">
        <v>169</v>
      </c>
      <c r="Z66" s="30">
        <f>ROUND(IF(AQ66="5",BJ66,0),2)</f>
        <v>0</v>
      </c>
      <c r="AB66" s="30">
        <f>ROUND(IF(AQ66="1",BH66,0),2)</f>
        <v>0</v>
      </c>
      <c r="AC66" s="30">
        <f>ROUND(IF(AQ66="1",BI66,0),2)</f>
        <v>0</v>
      </c>
      <c r="AD66" s="30">
        <f>ROUND(IF(AQ66="7",BH66,0),2)</f>
        <v>0</v>
      </c>
      <c r="AE66" s="30">
        <f>ROUND(IF(AQ66="7",BI66,0),2)</f>
        <v>0</v>
      </c>
      <c r="AF66" s="30">
        <f>ROUND(IF(AQ66="2",BH66,0),2)</f>
        <v>0</v>
      </c>
      <c r="AG66" s="30">
        <f>ROUND(IF(AQ66="2",BI66,0),2)</f>
        <v>0</v>
      </c>
      <c r="AH66" s="30">
        <f>ROUND(IF(AQ66="0",BJ66,0),2)</f>
        <v>0</v>
      </c>
      <c r="AI66" s="10" t="s">
        <v>171</v>
      </c>
      <c r="AJ66" s="30">
        <f>IF(AN66=0,J66,0)</f>
        <v>0</v>
      </c>
      <c r="AK66" s="30">
        <f>IF(AN66=12,J66,0)</f>
        <v>0</v>
      </c>
      <c r="AL66" s="30">
        <f>IF(AN66=21,J66,0)</f>
        <v>0</v>
      </c>
      <c r="AN66" s="30">
        <v>21</v>
      </c>
      <c r="AO66" s="30">
        <f>G66*1</f>
        <v>0</v>
      </c>
      <c r="AP66" s="30">
        <f>G66*(1-1)</f>
        <v>0</v>
      </c>
      <c r="AQ66" s="33" t="s">
        <v>57</v>
      </c>
      <c r="AV66" s="30">
        <f>ROUND(AW66+AX66,2)</f>
        <v>0</v>
      </c>
      <c r="AW66" s="30">
        <f>ROUND(F66*AO66,2)</f>
        <v>0</v>
      </c>
      <c r="AX66" s="30">
        <f>ROUND(F66*AP66,2)</f>
        <v>0</v>
      </c>
      <c r="AY66" s="33" t="s">
        <v>181</v>
      </c>
      <c r="AZ66" s="33" t="s">
        <v>182</v>
      </c>
      <c r="BA66" s="10" t="s">
        <v>174</v>
      </c>
      <c r="BC66" s="30">
        <f>AW66+AX66</f>
        <v>0</v>
      </c>
      <c r="BD66" s="30">
        <f>G66/(100-BE66)*100</f>
        <v>0</v>
      </c>
      <c r="BE66" s="30">
        <v>0</v>
      </c>
      <c r="BF66" s="30">
        <f>66</f>
        <v>66</v>
      </c>
      <c r="BH66" s="30">
        <f>F66*AO66</f>
        <v>0</v>
      </c>
      <c r="BI66" s="30">
        <f>F66*AP66</f>
        <v>0</v>
      </c>
      <c r="BJ66" s="30">
        <f>F66*G66</f>
        <v>0</v>
      </c>
      <c r="BK66" s="30"/>
      <c r="BL66" s="30">
        <v>93</v>
      </c>
      <c r="BW66" s="30">
        <v>21</v>
      </c>
      <c r="BX66" s="4" t="s">
        <v>186</v>
      </c>
    </row>
    <row r="67" spans="1:76" ht="14.4" x14ac:dyDescent="0.3">
      <c r="A67" s="2" t="s">
        <v>188</v>
      </c>
      <c r="B67" s="3" t="s">
        <v>189</v>
      </c>
      <c r="C67" s="70" t="s">
        <v>190</v>
      </c>
      <c r="D67" s="71"/>
      <c r="E67" s="3" t="s">
        <v>187</v>
      </c>
      <c r="F67" s="30">
        <v>1</v>
      </c>
      <c r="G67" s="31">
        <v>0</v>
      </c>
      <c r="H67" s="30">
        <f>ROUND(F67*AO67,2)</f>
        <v>0</v>
      </c>
      <c r="I67" s="30">
        <f>ROUND(F67*AP67,2)</f>
        <v>0</v>
      </c>
      <c r="J67" s="30">
        <f>ROUND(F67*G67,2)</f>
        <v>0</v>
      </c>
      <c r="K67" s="32" t="s">
        <v>52</v>
      </c>
      <c r="Z67" s="30">
        <f>ROUND(IF(AQ67="5",BJ67,0),2)</f>
        <v>0</v>
      </c>
      <c r="AB67" s="30">
        <f>ROUND(IF(AQ67="1",BH67,0),2)</f>
        <v>0</v>
      </c>
      <c r="AC67" s="30">
        <f>ROUND(IF(AQ67="1",BI67,0),2)</f>
        <v>0</v>
      </c>
      <c r="AD67" s="30">
        <f>ROUND(IF(AQ67="7",BH67,0),2)</f>
        <v>0</v>
      </c>
      <c r="AE67" s="30">
        <f>ROUND(IF(AQ67="7",BI67,0),2)</f>
        <v>0</v>
      </c>
      <c r="AF67" s="30">
        <f>ROUND(IF(AQ67="2",BH67,0),2)</f>
        <v>0</v>
      </c>
      <c r="AG67" s="30">
        <f>ROUND(IF(AQ67="2",BI67,0),2)</f>
        <v>0</v>
      </c>
      <c r="AH67" s="30">
        <f>ROUND(IF(AQ67="0",BJ67,0),2)</f>
        <v>0</v>
      </c>
      <c r="AI67" s="10" t="s">
        <v>171</v>
      </c>
      <c r="AJ67" s="30">
        <f>IF(AN67=0,J67,0)</f>
        <v>0</v>
      </c>
      <c r="AK67" s="30">
        <f>IF(AN67=12,J67,0)</f>
        <v>0</v>
      </c>
      <c r="AL67" s="30">
        <f>IF(AN67=21,J67,0)</f>
        <v>0</v>
      </c>
      <c r="AN67" s="30">
        <v>21</v>
      </c>
      <c r="AO67" s="30">
        <f>G67*1</f>
        <v>0</v>
      </c>
      <c r="AP67" s="30">
        <f>G67*(1-1)</f>
        <v>0</v>
      </c>
      <c r="AQ67" s="33" t="s">
        <v>57</v>
      </c>
      <c r="AV67" s="30">
        <f>ROUND(AW67+AX67,2)</f>
        <v>0</v>
      </c>
      <c r="AW67" s="30">
        <f>ROUND(F67*AO67,2)</f>
        <v>0</v>
      </c>
      <c r="AX67" s="30">
        <f>ROUND(F67*AP67,2)</f>
        <v>0</v>
      </c>
      <c r="AY67" s="33" t="s">
        <v>181</v>
      </c>
      <c r="AZ67" s="33" t="s">
        <v>182</v>
      </c>
      <c r="BA67" s="10" t="s">
        <v>174</v>
      </c>
      <c r="BC67" s="30">
        <f>AW67+AX67</f>
        <v>0</v>
      </c>
      <c r="BD67" s="30">
        <f>G67/(100-BE67)*100</f>
        <v>0</v>
      </c>
      <c r="BE67" s="30">
        <v>0</v>
      </c>
      <c r="BF67" s="30">
        <f>67</f>
        <v>67</v>
      </c>
      <c r="BH67" s="30">
        <f>F67*AO67</f>
        <v>0</v>
      </c>
      <c r="BI67" s="30">
        <f>F67*AP67</f>
        <v>0</v>
      </c>
      <c r="BJ67" s="30">
        <f>F67*G67</f>
        <v>0</v>
      </c>
      <c r="BK67" s="30"/>
      <c r="BL67" s="30">
        <v>93</v>
      </c>
      <c r="BW67" s="30">
        <v>21</v>
      </c>
      <c r="BX67" s="4" t="s">
        <v>190</v>
      </c>
    </row>
    <row r="68" spans="1:76" ht="14.4" x14ac:dyDescent="0.3">
      <c r="A68" s="2" t="s">
        <v>191</v>
      </c>
      <c r="B68" s="3" t="s">
        <v>192</v>
      </c>
      <c r="C68" s="70" t="s">
        <v>193</v>
      </c>
      <c r="D68" s="71"/>
      <c r="E68" s="3" t="s">
        <v>187</v>
      </c>
      <c r="F68" s="30">
        <v>1</v>
      </c>
      <c r="G68" s="31">
        <v>0</v>
      </c>
      <c r="H68" s="30">
        <f>ROUND(F68*AO68,2)</f>
        <v>0</v>
      </c>
      <c r="I68" s="30">
        <f>ROUND(F68*AP68,2)</f>
        <v>0</v>
      </c>
      <c r="J68" s="30">
        <f>ROUND(F68*G68,2)</f>
        <v>0</v>
      </c>
      <c r="K68" s="32" t="s">
        <v>52</v>
      </c>
      <c r="Z68" s="30">
        <f>ROUND(IF(AQ68="5",BJ68,0),2)</f>
        <v>0</v>
      </c>
      <c r="AB68" s="30">
        <f>ROUND(IF(AQ68="1",BH68,0),2)</f>
        <v>0</v>
      </c>
      <c r="AC68" s="30">
        <f>ROUND(IF(AQ68="1",BI68,0),2)</f>
        <v>0</v>
      </c>
      <c r="AD68" s="30">
        <f>ROUND(IF(AQ68="7",BH68,0),2)</f>
        <v>0</v>
      </c>
      <c r="AE68" s="30">
        <f>ROUND(IF(AQ68="7",BI68,0),2)</f>
        <v>0</v>
      </c>
      <c r="AF68" s="30">
        <f>ROUND(IF(AQ68="2",BH68,0),2)</f>
        <v>0</v>
      </c>
      <c r="AG68" s="30">
        <f>ROUND(IF(AQ68="2",BI68,0),2)</f>
        <v>0</v>
      </c>
      <c r="AH68" s="30">
        <f>ROUND(IF(AQ68="0",BJ68,0),2)</f>
        <v>0</v>
      </c>
      <c r="AI68" s="10" t="s">
        <v>171</v>
      </c>
      <c r="AJ68" s="30">
        <f>IF(AN68=0,J68,0)</f>
        <v>0</v>
      </c>
      <c r="AK68" s="30">
        <f>IF(AN68=12,J68,0)</f>
        <v>0</v>
      </c>
      <c r="AL68" s="30">
        <f>IF(AN68=21,J68,0)</f>
        <v>0</v>
      </c>
      <c r="AN68" s="30">
        <v>21</v>
      </c>
      <c r="AO68" s="30">
        <f>G68*1</f>
        <v>0</v>
      </c>
      <c r="AP68" s="30">
        <f>G68*(1-1)</f>
        <v>0</v>
      </c>
      <c r="AQ68" s="33" t="s">
        <v>57</v>
      </c>
      <c r="AV68" s="30">
        <f>ROUND(AW68+AX68,2)</f>
        <v>0</v>
      </c>
      <c r="AW68" s="30">
        <f>ROUND(F68*AO68,2)</f>
        <v>0</v>
      </c>
      <c r="AX68" s="30">
        <f>ROUND(F68*AP68,2)</f>
        <v>0</v>
      </c>
      <c r="AY68" s="33" t="s">
        <v>181</v>
      </c>
      <c r="AZ68" s="33" t="s">
        <v>182</v>
      </c>
      <c r="BA68" s="10" t="s">
        <v>174</v>
      </c>
      <c r="BC68" s="30">
        <f>AW68+AX68</f>
        <v>0</v>
      </c>
      <c r="BD68" s="30">
        <f>G68/(100-BE68)*100</f>
        <v>0</v>
      </c>
      <c r="BE68" s="30">
        <v>0</v>
      </c>
      <c r="BF68" s="30">
        <f>68</f>
        <v>68</v>
      </c>
      <c r="BH68" s="30">
        <f>F68*AO68</f>
        <v>0</v>
      </c>
      <c r="BI68" s="30">
        <f>F68*AP68</f>
        <v>0</v>
      </c>
      <c r="BJ68" s="30">
        <f>F68*G68</f>
        <v>0</v>
      </c>
      <c r="BK68" s="30"/>
      <c r="BL68" s="30">
        <v>93</v>
      </c>
      <c r="BW68" s="30">
        <v>21</v>
      </c>
      <c r="BX68" s="4" t="s">
        <v>193</v>
      </c>
    </row>
    <row r="69" spans="1:76" ht="14.4" x14ac:dyDescent="0.3">
      <c r="A69" s="2" t="s">
        <v>194</v>
      </c>
      <c r="B69" s="3" t="s">
        <v>195</v>
      </c>
      <c r="C69" s="70" t="s">
        <v>196</v>
      </c>
      <c r="D69" s="71"/>
      <c r="E69" s="3" t="s">
        <v>187</v>
      </c>
      <c r="F69" s="30">
        <v>1</v>
      </c>
      <c r="G69" s="31">
        <v>0</v>
      </c>
      <c r="H69" s="30">
        <f>ROUND(F69*AO69,2)</f>
        <v>0</v>
      </c>
      <c r="I69" s="30">
        <f>ROUND(F69*AP69,2)</f>
        <v>0</v>
      </c>
      <c r="J69" s="30">
        <f>ROUND(F69*G69,2)</f>
        <v>0</v>
      </c>
      <c r="K69" s="32" t="s">
        <v>52</v>
      </c>
      <c r="Z69" s="30">
        <f>ROUND(IF(AQ69="5",BJ69,0),2)</f>
        <v>0</v>
      </c>
      <c r="AB69" s="30">
        <f>ROUND(IF(AQ69="1",BH69,0),2)</f>
        <v>0</v>
      </c>
      <c r="AC69" s="30">
        <f>ROUND(IF(AQ69="1",BI69,0),2)</f>
        <v>0</v>
      </c>
      <c r="AD69" s="30">
        <f>ROUND(IF(AQ69="7",BH69,0),2)</f>
        <v>0</v>
      </c>
      <c r="AE69" s="30">
        <f>ROUND(IF(AQ69="7",BI69,0),2)</f>
        <v>0</v>
      </c>
      <c r="AF69" s="30">
        <f>ROUND(IF(AQ69="2",BH69,0),2)</f>
        <v>0</v>
      </c>
      <c r="AG69" s="30">
        <f>ROUND(IF(AQ69="2",BI69,0),2)</f>
        <v>0</v>
      </c>
      <c r="AH69" s="30">
        <f>ROUND(IF(AQ69="0",BJ69,0),2)</f>
        <v>0</v>
      </c>
      <c r="AI69" s="10" t="s">
        <v>171</v>
      </c>
      <c r="AJ69" s="30">
        <f>IF(AN69=0,J69,0)</f>
        <v>0</v>
      </c>
      <c r="AK69" s="30">
        <f>IF(AN69=12,J69,0)</f>
        <v>0</v>
      </c>
      <c r="AL69" s="30">
        <f>IF(AN69=21,J69,0)</f>
        <v>0</v>
      </c>
      <c r="AN69" s="30">
        <v>21</v>
      </c>
      <c r="AO69" s="30">
        <f>G69*1</f>
        <v>0</v>
      </c>
      <c r="AP69" s="30">
        <f>G69*(1-1)</f>
        <v>0</v>
      </c>
      <c r="AQ69" s="33" t="s">
        <v>57</v>
      </c>
      <c r="AV69" s="30">
        <f>ROUND(AW69+AX69,2)</f>
        <v>0</v>
      </c>
      <c r="AW69" s="30">
        <f>ROUND(F69*AO69,2)</f>
        <v>0</v>
      </c>
      <c r="AX69" s="30">
        <f>ROUND(F69*AP69,2)</f>
        <v>0</v>
      </c>
      <c r="AY69" s="33" t="s">
        <v>181</v>
      </c>
      <c r="AZ69" s="33" t="s">
        <v>182</v>
      </c>
      <c r="BA69" s="10" t="s">
        <v>174</v>
      </c>
      <c r="BC69" s="30">
        <f>AW69+AX69</f>
        <v>0</v>
      </c>
      <c r="BD69" s="30">
        <f>G69/(100-BE69)*100</f>
        <v>0</v>
      </c>
      <c r="BE69" s="30">
        <v>0</v>
      </c>
      <c r="BF69" s="30">
        <f>69</f>
        <v>69</v>
      </c>
      <c r="BH69" s="30">
        <f>F69*AO69</f>
        <v>0</v>
      </c>
      <c r="BI69" s="30">
        <f>F69*AP69</f>
        <v>0</v>
      </c>
      <c r="BJ69" s="30">
        <f>F69*G69</f>
        <v>0</v>
      </c>
      <c r="BK69" s="30"/>
      <c r="BL69" s="30">
        <v>93</v>
      </c>
      <c r="BW69" s="30">
        <v>21</v>
      </c>
      <c r="BX69" s="4" t="s">
        <v>196</v>
      </c>
    </row>
    <row r="70" spans="1:76" ht="26.4" x14ac:dyDescent="0.3">
      <c r="A70" s="2" t="s">
        <v>197</v>
      </c>
      <c r="B70" s="3" t="s">
        <v>198</v>
      </c>
      <c r="C70" s="70" t="s">
        <v>199</v>
      </c>
      <c r="D70" s="71"/>
      <c r="E70" s="3" t="s">
        <v>187</v>
      </c>
      <c r="F70" s="30">
        <v>2</v>
      </c>
      <c r="G70" s="31">
        <v>0</v>
      </c>
      <c r="H70" s="30">
        <f>ROUND(F70*AO70,2)</f>
        <v>0</v>
      </c>
      <c r="I70" s="30">
        <f>ROUND(F70*AP70,2)</f>
        <v>0</v>
      </c>
      <c r="J70" s="30">
        <f>ROUND(F70*G70,2)</f>
        <v>0</v>
      </c>
      <c r="K70" s="32" t="s">
        <v>200</v>
      </c>
      <c r="Z70" s="30">
        <f>ROUND(IF(AQ70="5",BJ70,0),2)</f>
        <v>0</v>
      </c>
      <c r="AB70" s="30">
        <f>ROUND(IF(AQ70="1",BH70,0),2)</f>
        <v>0</v>
      </c>
      <c r="AC70" s="30">
        <f>ROUND(IF(AQ70="1",BI70,0),2)</f>
        <v>0</v>
      </c>
      <c r="AD70" s="30">
        <f>ROUND(IF(AQ70="7",BH70,0),2)</f>
        <v>0</v>
      </c>
      <c r="AE70" s="30">
        <f>ROUND(IF(AQ70="7",BI70,0),2)</f>
        <v>0</v>
      </c>
      <c r="AF70" s="30">
        <f>ROUND(IF(AQ70="2",BH70,0),2)</f>
        <v>0</v>
      </c>
      <c r="AG70" s="30">
        <f>ROUND(IF(AQ70="2",BI70,0),2)</f>
        <v>0</v>
      </c>
      <c r="AH70" s="30">
        <f>ROUND(IF(AQ70="0",BJ70,0),2)</f>
        <v>0</v>
      </c>
      <c r="AI70" s="10" t="s">
        <v>171</v>
      </c>
      <c r="AJ70" s="30">
        <f>IF(AN70=0,J70,0)</f>
        <v>0</v>
      </c>
      <c r="AK70" s="30">
        <f>IF(AN70=12,J70,0)</f>
        <v>0</v>
      </c>
      <c r="AL70" s="30">
        <f>IF(AN70=21,J70,0)</f>
        <v>0</v>
      </c>
      <c r="AN70" s="30">
        <v>21</v>
      </c>
      <c r="AO70" s="30">
        <f>G70*1</f>
        <v>0</v>
      </c>
      <c r="AP70" s="30">
        <f>G70*(1-1)</f>
        <v>0</v>
      </c>
      <c r="AQ70" s="33" t="s">
        <v>57</v>
      </c>
      <c r="AV70" s="30">
        <f>ROUND(AW70+AX70,2)</f>
        <v>0</v>
      </c>
      <c r="AW70" s="30">
        <f>ROUND(F70*AO70,2)</f>
        <v>0</v>
      </c>
      <c r="AX70" s="30">
        <f>ROUND(F70*AP70,2)</f>
        <v>0</v>
      </c>
      <c r="AY70" s="33" t="s">
        <v>181</v>
      </c>
      <c r="AZ70" s="33" t="s">
        <v>182</v>
      </c>
      <c r="BA70" s="10" t="s">
        <v>174</v>
      </c>
      <c r="BC70" s="30">
        <f>AW70+AX70</f>
        <v>0</v>
      </c>
      <c r="BD70" s="30">
        <f>G70/(100-BE70)*100</f>
        <v>0</v>
      </c>
      <c r="BE70" s="30">
        <v>0</v>
      </c>
      <c r="BF70" s="30">
        <f>70</f>
        <v>70</v>
      </c>
      <c r="BH70" s="30">
        <f>F70*AO70</f>
        <v>0</v>
      </c>
      <c r="BI70" s="30">
        <f>F70*AP70</f>
        <v>0</v>
      </c>
      <c r="BJ70" s="30">
        <f>F70*G70</f>
        <v>0</v>
      </c>
      <c r="BK70" s="30"/>
      <c r="BL70" s="30">
        <v>93</v>
      </c>
      <c r="BW70" s="30">
        <v>21</v>
      </c>
      <c r="BX70" s="4" t="s">
        <v>199</v>
      </c>
    </row>
    <row r="71" spans="1:76" ht="14.4" x14ac:dyDescent="0.3">
      <c r="A71" s="25" t="s">
        <v>52</v>
      </c>
      <c r="B71" s="26" t="s">
        <v>201</v>
      </c>
      <c r="C71" s="72" t="s">
        <v>202</v>
      </c>
      <c r="D71" s="73"/>
      <c r="E71" s="27" t="s">
        <v>4</v>
      </c>
      <c r="F71" s="27" t="s">
        <v>4</v>
      </c>
      <c r="G71" s="28" t="s">
        <v>4</v>
      </c>
      <c r="H71" s="1">
        <f>SUM(H72:H80)</f>
        <v>0</v>
      </c>
      <c r="I71" s="1">
        <f>SUM(I72:I80)</f>
        <v>0</v>
      </c>
      <c r="J71" s="1">
        <f>SUM(J72:J80)</f>
        <v>0</v>
      </c>
      <c r="K71" s="29" t="s">
        <v>52</v>
      </c>
      <c r="AI71" s="10" t="s">
        <v>171</v>
      </c>
      <c r="AS71" s="1">
        <f>SUM(AJ72:AJ80)</f>
        <v>0</v>
      </c>
      <c r="AT71" s="1">
        <f>SUM(AK72:AK80)</f>
        <v>0</v>
      </c>
      <c r="AU71" s="1">
        <f>SUM(AL72:AL80)</f>
        <v>0</v>
      </c>
    </row>
    <row r="72" spans="1:76" ht="14.4" x14ac:dyDescent="0.3">
      <c r="A72" s="2" t="s">
        <v>203</v>
      </c>
      <c r="B72" s="3" t="s">
        <v>204</v>
      </c>
      <c r="C72" s="70" t="s">
        <v>205</v>
      </c>
      <c r="D72" s="71"/>
      <c r="E72" s="3" t="s">
        <v>206</v>
      </c>
      <c r="F72" s="30">
        <v>1</v>
      </c>
      <c r="G72" s="31">
        <v>0</v>
      </c>
      <c r="H72" s="30">
        <f>ROUND(F72*AO72,2)</f>
        <v>0</v>
      </c>
      <c r="I72" s="30">
        <f>ROUND(F72*AP72,2)</f>
        <v>0</v>
      </c>
      <c r="J72" s="30">
        <f>ROUND(F72*G72,2)</f>
        <v>0</v>
      </c>
      <c r="K72" s="32" t="s">
        <v>52</v>
      </c>
      <c r="Z72" s="30">
        <f>ROUND(IF(AQ72="5",BJ72,0),2)</f>
        <v>0</v>
      </c>
      <c r="AB72" s="30">
        <f>ROUND(IF(AQ72="1",BH72,0),2)</f>
        <v>0</v>
      </c>
      <c r="AC72" s="30">
        <f>ROUND(IF(AQ72="1",BI72,0),2)</f>
        <v>0</v>
      </c>
      <c r="AD72" s="30">
        <f>ROUND(IF(AQ72="7",BH72,0),2)</f>
        <v>0</v>
      </c>
      <c r="AE72" s="30">
        <f>ROUND(IF(AQ72="7",BI72,0),2)</f>
        <v>0</v>
      </c>
      <c r="AF72" s="30">
        <f>ROUND(IF(AQ72="2",BH72,0),2)</f>
        <v>0</v>
      </c>
      <c r="AG72" s="30">
        <f>ROUND(IF(AQ72="2",BI72,0),2)</f>
        <v>0</v>
      </c>
      <c r="AH72" s="30">
        <f>ROUND(IF(AQ72="0",BJ72,0),2)</f>
        <v>0</v>
      </c>
      <c r="AI72" s="10" t="s">
        <v>171</v>
      </c>
      <c r="AJ72" s="30">
        <f>IF(AN72=0,J72,0)</f>
        <v>0</v>
      </c>
      <c r="AK72" s="30">
        <f>IF(AN72=12,J72,0)</f>
        <v>0</v>
      </c>
      <c r="AL72" s="30">
        <f>IF(AN72=21,J72,0)</f>
        <v>0</v>
      </c>
      <c r="AN72" s="30">
        <v>21</v>
      </c>
      <c r="AO72" s="30">
        <f>G72*0.5</f>
        <v>0</v>
      </c>
      <c r="AP72" s="30">
        <f>G72*(1-0.5)</f>
        <v>0</v>
      </c>
      <c r="AQ72" s="33" t="s">
        <v>57</v>
      </c>
      <c r="AV72" s="30">
        <f>ROUND(AW72+AX72,2)</f>
        <v>0</v>
      </c>
      <c r="AW72" s="30">
        <f>ROUND(F72*AO72,2)</f>
        <v>0</v>
      </c>
      <c r="AX72" s="30">
        <f>ROUND(F72*AP72,2)</f>
        <v>0</v>
      </c>
      <c r="AY72" s="33" t="s">
        <v>207</v>
      </c>
      <c r="AZ72" s="33" t="s">
        <v>208</v>
      </c>
      <c r="BA72" s="10" t="s">
        <v>174</v>
      </c>
      <c r="BC72" s="30">
        <f>AW72+AX72</f>
        <v>0</v>
      </c>
      <c r="BD72" s="30">
        <f>G72/(100-BE72)*100</f>
        <v>0</v>
      </c>
      <c r="BE72" s="30">
        <v>0</v>
      </c>
      <c r="BF72" s="30">
        <f>72</f>
        <v>72</v>
      </c>
      <c r="BH72" s="30">
        <f>F72*AO72</f>
        <v>0</v>
      </c>
      <c r="BI72" s="30">
        <f>F72*AP72</f>
        <v>0</v>
      </c>
      <c r="BJ72" s="30">
        <f>F72*G72</f>
        <v>0</v>
      </c>
      <c r="BK72" s="30"/>
      <c r="BL72" s="30"/>
      <c r="BW72" s="30">
        <v>21</v>
      </c>
      <c r="BX72" s="4" t="s">
        <v>205</v>
      </c>
    </row>
    <row r="73" spans="1:76" ht="13.5" customHeight="1" x14ac:dyDescent="0.3">
      <c r="A73" s="34"/>
      <c r="B73" s="35" t="s">
        <v>65</v>
      </c>
      <c r="C73" s="76" t="s">
        <v>209</v>
      </c>
      <c r="D73" s="77"/>
      <c r="E73" s="77"/>
      <c r="F73" s="77"/>
      <c r="G73" s="78"/>
      <c r="H73" s="77"/>
      <c r="I73" s="77"/>
      <c r="J73" s="77"/>
      <c r="K73" s="79"/>
    </row>
    <row r="74" spans="1:76" ht="14.4" x14ac:dyDescent="0.3">
      <c r="A74" s="2" t="s">
        <v>108</v>
      </c>
      <c r="B74" s="3" t="s">
        <v>210</v>
      </c>
      <c r="C74" s="70" t="s">
        <v>211</v>
      </c>
      <c r="D74" s="71"/>
      <c r="E74" s="3" t="s">
        <v>206</v>
      </c>
      <c r="F74" s="30">
        <v>1</v>
      </c>
      <c r="G74" s="31">
        <v>0</v>
      </c>
      <c r="H74" s="30">
        <f>ROUND(F74*AO74,2)</f>
        <v>0</v>
      </c>
      <c r="I74" s="30">
        <f>ROUND(F74*AP74,2)</f>
        <v>0</v>
      </c>
      <c r="J74" s="30">
        <f>ROUND(F74*G74,2)</f>
        <v>0</v>
      </c>
      <c r="K74" s="32" t="s">
        <v>52</v>
      </c>
      <c r="Z74" s="30">
        <f>ROUND(IF(AQ74="5",BJ74,0),2)</f>
        <v>0</v>
      </c>
      <c r="AB74" s="30">
        <f>ROUND(IF(AQ74="1",BH74,0),2)</f>
        <v>0</v>
      </c>
      <c r="AC74" s="30">
        <f>ROUND(IF(AQ74="1",BI74,0),2)</f>
        <v>0</v>
      </c>
      <c r="AD74" s="30">
        <f>ROUND(IF(AQ74="7",BH74,0),2)</f>
        <v>0</v>
      </c>
      <c r="AE74" s="30">
        <f>ROUND(IF(AQ74="7",BI74,0),2)</f>
        <v>0</v>
      </c>
      <c r="AF74" s="30">
        <f>ROUND(IF(AQ74="2",BH74,0),2)</f>
        <v>0</v>
      </c>
      <c r="AG74" s="30">
        <f>ROUND(IF(AQ74="2",BI74,0),2)</f>
        <v>0</v>
      </c>
      <c r="AH74" s="30">
        <f>ROUND(IF(AQ74="0",BJ74,0),2)</f>
        <v>0</v>
      </c>
      <c r="AI74" s="10" t="s">
        <v>171</v>
      </c>
      <c r="AJ74" s="30">
        <f>IF(AN74=0,J74,0)</f>
        <v>0</v>
      </c>
      <c r="AK74" s="30">
        <f>IF(AN74=12,J74,0)</f>
        <v>0</v>
      </c>
      <c r="AL74" s="30">
        <f>IF(AN74=21,J74,0)</f>
        <v>0</v>
      </c>
      <c r="AN74" s="30">
        <v>21</v>
      </c>
      <c r="AO74" s="30">
        <f>G74*0.727272727</f>
        <v>0</v>
      </c>
      <c r="AP74" s="30">
        <f>G74*(1-0.727272727)</f>
        <v>0</v>
      </c>
      <c r="AQ74" s="33" t="s">
        <v>57</v>
      </c>
      <c r="AV74" s="30">
        <f>ROUND(AW74+AX74,2)</f>
        <v>0</v>
      </c>
      <c r="AW74" s="30">
        <f>ROUND(F74*AO74,2)</f>
        <v>0</v>
      </c>
      <c r="AX74" s="30">
        <f>ROUND(F74*AP74,2)</f>
        <v>0</v>
      </c>
      <c r="AY74" s="33" t="s">
        <v>207</v>
      </c>
      <c r="AZ74" s="33" t="s">
        <v>208</v>
      </c>
      <c r="BA74" s="10" t="s">
        <v>174</v>
      </c>
      <c r="BC74" s="30">
        <f>AW74+AX74</f>
        <v>0</v>
      </c>
      <c r="BD74" s="30">
        <f>G74/(100-BE74)*100</f>
        <v>0</v>
      </c>
      <c r="BE74" s="30">
        <v>0</v>
      </c>
      <c r="BF74" s="30">
        <f>74</f>
        <v>74</v>
      </c>
      <c r="BH74" s="30">
        <f>F74*AO74</f>
        <v>0</v>
      </c>
      <c r="BI74" s="30">
        <f>F74*AP74</f>
        <v>0</v>
      </c>
      <c r="BJ74" s="30">
        <f>F74*G74</f>
        <v>0</v>
      </c>
      <c r="BK74" s="30"/>
      <c r="BL74" s="30"/>
      <c r="BW74" s="30">
        <v>21</v>
      </c>
      <c r="BX74" s="4" t="s">
        <v>211</v>
      </c>
    </row>
    <row r="75" spans="1:76" ht="13.5" customHeight="1" x14ac:dyDescent="0.3">
      <c r="A75" s="34"/>
      <c r="B75" s="35" t="s">
        <v>65</v>
      </c>
      <c r="C75" s="76" t="s">
        <v>212</v>
      </c>
      <c r="D75" s="77"/>
      <c r="E75" s="77"/>
      <c r="F75" s="77"/>
      <c r="G75" s="78"/>
      <c r="H75" s="77"/>
      <c r="I75" s="77"/>
      <c r="J75" s="77"/>
      <c r="K75" s="79"/>
    </row>
    <row r="76" spans="1:76" ht="14.4" x14ac:dyDescent="0.3">
      <c r="A76" s="2" t="s">
        <v>213</v>
      </c>
      <c r="B76" s="3" t="s">
        <v>214</v>
      </c>
      <c r="C76" s="70" t="s">
        <v>215</v>
      </c>
      <c r="D76" s="71"/>
      <c r="E76" s="3" t="s">
        <v>206</v>
      </c>
      <c r="F76" s="30">
        <v>1</v>
      </c>
      <c r="G76" s="31">
        <v>0</v>
      </c>
      <c r="H76" s="30">
        <f>ROUND(F76*AO76,2)</f>
        <v>0</v>
      </c>
      <c r="I76" s="30">
        <f>ROUND(F76*AP76,2)</f>
        <v>0</v>
      </c>
      <c r="J76" s="30">
        <f>ROUND(F76*G76,2)</f>
        <v>0</v>
      </c>
      <c r="K76" s="32" t="s">
        <v>52</v>
      </c>
      <c r="Z76" s="30">
        <f>ROUND(IF(AQ76="5",BJ76,0),2)</f>
        <v>0</v>
      </c>
      <c r="AB76" s="30">
        <f>ROUND(IF(AQ76="1",BH76,0),2)</f>
        <v>0</v>
      </c>
      <c r="AC76" s="30">
        <f>ROUND(IF(AQ76="1",BI76,0),2)</f>
        <v>0</v>
      </c>
      <c r="AD76" s="30">
        <f>ROUND(IF(AQ76="7",BH76,0),2)</f>
        <v>0</v>
      </c>
      <c r="AE76" s="30">
        <f>ROUND(IF(AQ76="7",BI76,0),2)</f>
        <v>0</v>
      </c>
      <c r="AF76" s="30">
        <f>ROUND(IF(AQ76="2",BH76,0),2)</f>
        <v>0</v>
      </c>
      <c r="AG76" s="30">
        <f>ROUND(IF(AQ76="2",BI76,0),2)</f>
        <v>0</v>
      </c>
      <c r="AH76" s="30">
        <f>ROUND(IF(AQ76="0",BJ76,0),2)</f>
        <v>0</v>
      </c>
      <c r="AI76" s="10" t="s">
        <v>171</v>
      </c>
      <c r="AJ76" s="30">
        <f>IF(AN76=0,J76,0)</f>
        <v>0</v>
      </c>
      <c r="AK76" s="30">
        <f>IF(AN76=12,J76,0)</f>
        <v>0</v>
      </c>
      <c r="AL76" s="30">
        <f>IF(AN76=21,J76,0)</f>
        <v>0</v>
      </c>
      <c r="AN76" s="30">
        <v>21</v>
      </c>
      <c r="AO76" s="30">
        <f>G76*0.791666667</f>
        <v>0</v>
      </c>
      <c r="AP76" s="30">
        <f>G76*(1-0.791666667)</f>
        <v>0</v>
      </c>
      <c r="AQ76" s="33" t="s">
        <v>57</v>
      </c>
      <c r="AV76" s="30">
        <f>ROUND(AW76+AX76,2)</f>
        <v>0</v>
      </c>
      <c r="AW76" s="30">
        <f>ROUND(F76*AO76,2)</f>
        <v>0</v>
      </c>
      <c r="AX76" s="30">
        <f>ROUND(F76*AP76,2)</f>
        <v>0</v>
      </c>
      <c r="AY76" s="33" t="s">
        <v>207</v>
      </c>
      <c r="AZ76" s="33" t="s">
        <v>208</v>
      </c>
      <c r="BA76" s="10" t="s">
        <v>174</v>
      </c>
      <c r="BC76" s="30">
        <f>AW76+AX76</f>
        <v>0</v>
      </c>
      <c r="BD76" s="30">
        <f>G76/(100-BE76)*100</f>
        <v>0</v>
      </c>
      <c r="BE76" s="30">
        <v>0</v>
      </c>
      <c r="BF76" s="30">
        <f>76</f>
        <v>76</v>
      </c>
      <c r="BH76" s="30">
        <f>F76*AO76</f>
        <v>0</v>
      </c>
      <c r="BI76" s="30">
        <f>F76*AP76</f>
        <v>0</v>
      </c>
      <c r="BJ76" s="30">
        <f>F76*G76</f>
        <v>0</v>
      </c>
      <c r="BK76" s="30"/>
      <c r="BL76" s="30"/>
      <c r="BW76" s="30">
        <v>21</v>
      </c>
      <c r="BX76" s="4" t="s">
        <v>215</v>
      </c>
    </row>
    <row r="77" spans="1:76" ht="13.5" customHeight="1" x14ac:dyDescent="0.3">
      <c r="A77" s="34"/>
      <c r="B77" s="35" t="s">
        <v>65</v>
      </c>
      <c r="C77" s="76" t="s">
        <v>209</v>
      </c>
      <c r="D77" s="77"/>
      <c r="E77" s="77"/>
      <c r="F77" s="77"/>
      <c r="G77" s="78"/>
      <c r="H77" s="77"/>
      <c r="I77" s="77"/>
      <c r="J77" s="77"/>
      <c r="K77" s="79"/>
    </row>
    <row r="78" spans="1:76" ht="14.4" x14ac:dyDescent="0.3">
      <c r="A78" s="2" t="s">
        <v>216</v>
      </c>
      <c r="B78" s="3" t="s">
        <v>217</v>
      </c>
      <c r="C78" s="70" t="s">
        <v>218</v>
      </c>
      <c r="D78" s="71"/>
      <c r="E78" s="3" t="s">
        <v>206</v>
      </c>
      <c r="F78" s="30">
        <v>1</v>
      </c>
      <c r="G78" s="31">
        <v>0</v>
      </c>
      <c r="H78" s="30">
        <f>ROUND(F78*AO78,2)</f>
        <v>0</v>
      </c>
      <c r="I78" s="30">
        <f>ROUND(F78*AP78,2)</f>
        <v>0</v>
      </c>
      <c r="J78" s="30">
        <f>ROUND(F78*G78,2)</f>
        <v>0</v>
      </c>
      <c r="K78" s="32" t="s">
        <v>52</v>
      </c>
      <c r="Z78" s="30">
        <f>ROUND(IF(AQ78="5",BJ78,0),2)</f>
        <v>0</v>
      </c>
      <c r="AB78" s="30">
        <f>ROUND(IF(AQ78="1",BH78,0),2)</f>
        <v>0</v>
      </c>
      <c r="AC78" s="30">
        <f>ROUND(IF(AQ78="1",BI78,0),2)</f>
        <v>0</v>
      </c>
      <c r="AD78" s="30">
        <f>ROUND(IF(AQ78="7",BH78,0),2)</f>
        <v>0</v>
      </c>
      <c r="AE78" s="30">
        <f>ROUND(IF(AQ78="7",BI78,0),2)</f>
        <v>0</v>
      </c>
      <c r="AF78" s="30">
        <f>ROUND(IF(AQ78="2",BH78,0),2)</f>
        <v>0</v>
      </c>
      <c r="AG78" s="30">
        <f>ROUND(IF(AQ78="2",BI78,0),2)</f>
        <v>0</v>
      </c>
      <c r="AH78" s="30">
        <f>ROUND(IF(AQ78="0",BJ78,0),2)</f>
        <v>0</v>
      </c>
      <c r="AI78" s="10" t="s">
        <v>171</v>
      </c>
      <c r="AJ78" s="30">
        <f>IF(AN78=0,J78,0)</f>
        <v>0</v>
      </c>
      <c r="AK78" s="30">
        <f>IF(AN78=12,J78,0)</f>
        <v>0</v>
      </c>
      <c r="AL78" s="30">
        <f>IF(AN78=21,J78,0)</f>
        <v>0</v>
      </c>
      <c r="AN78" s="30">
        <v>21</v>
      </c>
      <c r="AO78" s="30">
        <f>G78*0.791457326</f>
        <v>0</v>
      </c>
      <c r="AP78" s="30">
        <f>G78*(1-0.791457326)</f>
        <v>0</v>
      </c>
      <c r="AQ78" s="33" t="s">
        <v>57</v>
      </c>
      <c r="AV78" s="30">
        <f>ROUND(AW78+AX78,2)</f>
        <v>0</v>
      </c>
      <c r="AW78" s="30">
        <f>ROUND(F78*AO78,2)</f>
        <v>0</v>
      </c>
      <c r="AX78" s="30">
        <f>ROUND(F78*AP78,2)</f>
        <v>0</v>
      </c>
      <c r="AY78" s="33" t="s">
        <v>207</v>
      </c>
      <c r="AZ78" s="33" t="s">
        <v>208</v>
      </c>
      <c r="BA78" s="10" t="s">
        <v>174</v>
      </c>
      <c r="BC78" s="30">
        <f>AW78+AX78</f>
        <v>0</v>
      </c>
      <c r="BD78" s="30">
        <f>G78/(100-BE78)*100</f>
        <v>0</v>
      </c>
      <c r="BE78" s="30">
        <v>0</v>
      </c>
      <c r="BF78" s="30">
        <f>78</f>
        <v>78</v>
      </c>
      <c r="BH78" s="30">
        <f>F78*AO78</f>
        <v>0</v>
      </c>
      <c r="BI78" s="30">
        <f>F78*AP78</f>
        <v>0</v>
      </c>
      <c r="BJ78" s="30">
        <f>F78*G78</f>
        <v>0</v>
      </c>
      <c r="BK78" s="30"/>
      <c r="BL78" s="30"/>
      <c r="BW78" s="30">
        <v>21</v>
      </c>
      <c r="BX78" s="4" t="s">
        <v>218</v>
      </c>
    </row>
    <row r="79" spans="1:76" ht="13.5" customHeight="1" x14ac:dyDescent="0.3">
      <c r="A79" s="34"/>
      <c r="B79" s="35" t="s">
        <v>65</v>
      </c>
      <c r="C79" s="76" t="s">
        <v>219</v>
      </c>
      <c r="D79" s="77"/>
      <c r="E79" s="77"/>
      <c r="F79" s="77"/>
      <c r="G79" s="78"/>
      <c r="H79" s="77"/>
      <c r="I79" s="77"/>
      <c r="J79" s="77"/>
      <c r="K79" s="79"/>
    </row>
    <row r="80" spans="1:76" ht="14.4" x14ac:dyDescent="0.3">
      <c r="A80" s="2" t="s">
        <v>220</v>
      </c>
      <c r="B80" s="3" t="s">
        <v>221</v>
      </c>
      <c r="C80" s="70" t="s">
        <v>222</v>
      </c>
      <c r="D80" s="71"/>
      <c r="E80" s="3" t="s">
        <v>206</v>
      </c>
      <c r="F80" s="30">
        <v>1</v>
      </c>
      <c r="G80" s="31">
        <v>0</v>
      </c>
      <c r="H80" s="30">
        <f>ROUND(F80*AO80,2)</f>
        <v>0</v>
      </c>
      <c r="I80" s="30">
        <f>ROUND(F80*AP80,2)</f>
        <v>0</v>
      </c>
      <c r="J80" s="30">
        <f>ROUND(F80*G80,2)</f>
        <v>0</v>
      </c>
      <c r="K80" s="32" t="s">
        <v>52</v>
      </c>
      <c r="Z80" s="30">
        <f>ROUND(IF(AQ80="5",BJ80,0),2)</f>
        <v>0</v>
      </c>
      <c r="AB80" s="30">
        <f>ROUND(IF(AQ80="1",BH80,0),2)</f>
        <v>0</v>
      </c>
      <c r="AC80" s="30">
        <f>ROUND(IF(AQ80="1",BI80,0),2)</f>
        <v>0</v>
      </c>
      <c r="AD80" s="30">
        <f>ROUND(IF(AQ80="7",BH80,0),2)</f>
        <v>0</v>
      </c>
      <c r="AE80" s="30">
        <f>ROUND(IF(AQ80="7",BI80,0),2)</f>
        <v>0</v>
      </c>
      <c r="AF80" s="30">
        <f>ROUND(IF(AQ80="2",BH80,0),2)</f>
        <v>0</v>
      </c>
      <c r="AG80" s="30">
        <f>ROUND(IF(AQ80="2",BI80,0),2)</f>
        <v>0</v>
      </c>
      <c r="AH80" s="30">
        <f>ROUND(IF(AQ80="0",BJ80,0),2)</f>
        <v>0</v>
      </c>
      <c r="AI80" s="10" t="s">
        <v>171</v>
      </c>
      <c r="AJ80" s="30">
        <f>IF(AN80=0,J80,0)</f>
        <v>0</v>
      </c>
      <c r="AK80" s="30">
        <f>IF(AN80=12,J80,0)</f>
        <v>0</v>
      </c>
      <c r="AL80" s="30">
        <f>IF(AN80=21,J80,0)</f>
        <v>0</v>
      </c>
      <c r="AN80" s="30">
        <v>21</v>
      </c>
      <c r="AO80" s="30">
        <f>G80*0.684210526</f>
        <v>0</v>
      </c>
      <c r="AP80" s="30">
        <f>G80*(1-0.684210526)</f>
        <v>0</v>
      </c>
      <c r="AQ80" s="33" t="s">
        <v>57</v>
      </c>
      <c r="AV80" s="30">
        <f>ROUND(AW80+AX80,2)</f>
        <v>0</v>
      </c>
      <c r="AW80" s="30">
        <f>ROUND(F80*AO80,2)</f>
        <v>0</v>
      </c>
      <c r="AX80" s="30">
        <f>ROUND(F80*AP80,2)</f>
        <v>0</v>
      </c>
      <c r="AY80" s="33" t="s">
        <v>207</v>
      </c>
      <c r="AZ80" s="33" t="s">
        <v>208</v>
      </c>
      <c r="BA80" s="10" t="s">
        <v>174</v>
      </c>
      <c r="BC80" s="30">
        <f>AW80+AX80</f>
        <v>0</v>
      </c>
      <c r="BD80" s="30">
        <f>G80/(100-BE80)*100</f>
        <v>0</v>
      </c>
      <c r="BE80" s="30">
        <v>0</v>
      </c>
      <c r="BF80" s="30">
        <f>80</f>
        <v>80</v>
      </c>
      <c r="BH80" s="30">
        <f>F80*AO80</f>
        <v>0</v>
      </c>
      <c r="BI80" s="30">
        <f>F80*AP80</f>
        <v>0</v>
      </c>
      <c r="BJ80" s="30">
        <f>F80*G80</f>
        <v>0</v>
      </c>
      <c r="BK80" s="30"/>
      <c r="BL80" s="30"/>
      <c r="BW80" s="30">
        <v>21</v>
      </c>
      <c r="BX80" s="4" t="s">
        <v>222</v>
      </c>
    </row>
    <row r="81" spans="1:76" ht="13.5" customHeight="1" x14ac:dyDescent="0.3">
      <c r="A81" s="34"/>
      <c r="B81" s="35" t="s">
        <v>65</v>
      </c>
      <c r="C81" s="76" t="s">
        <v>223</v>
      </c>
      <c r="D81" s="77"/>
      <c r="E81" s="77"/>
      <c r="F81" s="77"/>
      <c r="G81" s="78"/>
      <c r="H81" s="77"/>
      <c r="I81" s="77"/>
      <c r="J81" s="77"/>
      <c r="K81" s="79"/>
    </row>
    <row r="82" spans="1:76" ht="14.4" x14ac:dyDescent="0.3">
      <c r="A82" s="25" t="s">
        <v>52</v>
      </c>
      <c r="B82" s="26" t="s">
        <v>52</v>
      </c>
      <c r="C82" s="72" t="s">
        <v>224</v>
      </c>
      <c r="D82" s="73"/>
      <c r="E82" s="27" t="s">
        <v>4</v>
      </c>
      <c r="F82" s="27" t="s">
        <v>4</v>
      </c>
      <c r="G82" s="28" t="s">
        <v>4</v>
      </c>
      <c r="H82" s="1">
        <f>H83+H88</f>
        <v>0</v>
      </c>
      <c r="I82" s="1">
        <f>I83+I88</f>
        <v>0</v>
      </c>
      <c r="J82" s="1">
        <f>J83+J88</f>
        <v>0</v>
      </c>
      <c r="K82" s="29" t="s">
        <v>52</v>
      </c>
    </row>
    <row r="83" spans="1:76" ht="14.4" x14ac:dyDescent="0.3">
      <c r="A83" s="25" t="s">
        <v>52</v>
      </c>
      <c r="B83" s="26" t="s">
        <v>225</v>
      </c>
      <c r="C83" s="72" t="s">
        <v>226</v>
      </c>
      <c r="D83" s="73"/>
      <c r="E83" s="27" t="s">
        <v>4</v>
      </c>
      <c r="F83" s="27" t="s">
        <v>4</v>
      </c>
      <c r="G83" s="28" t="s">
        <v>4</v>
      </c>
      <c r="H83" s="1">
        <f>SUM(H84:H86)</f>
        <v>0</v>
      </c>
      <c r="I83" s="1">
        <f>SUM(I84:I86)</f>
        <v>0</v>
      </c>
      <c r="J83" s="1">
        <f>SUM(J84:J86)</f>
        <v>0</v>
      </c>
      <c r="K83" s="29" t="s">
        <v>52</v>
      </c>
      <c r="AI83" s="10" t="s">
        <v>227</v>
      </c>
      <c r="AS83" s="1">
        <f>SUM(AJ84:AJ86)</f>
        <v>0</v>
      </c>
      <c r="AT83" s="1">
        <f>SUM(AK84:AK86)</f>
        <v>0</v>
      </c>
      <c r="AU83" s="1">
        <f>SUM(AL84:AL86)</f>
        <v>0</v>
      </c>
    </row>
    <row r="84" spans="1:76" ht="14.4" x14ac:dyDescent="0.3">
      <c r="A84" s="2" t="s">
        <v>228</v>
      </c>
      <c r="B84" s="3" t="s">
        <v>229</v>
      </c>
      <c r="C84" s="70" t="s">
        <v>230</v>
      </c>
      <c r="D84" s="71"/>
      <c r="E84" s="3" t="s">
        <v>187</v>
      </c>
      <c r="F84" s="30">
        <v>6</v>
      </c>
      <c r="G84" s="31">
        <v>0</v>
      </c>
      <c r="H84" s="30">
        <f>ROUND(F84*AO84,2)</f>
        <v>0</v>
      </c>
      <c r="I84" s="30">
        <f>ROUND(F84*AP84,2)</f>
        <v>0</v>
      </c>
      <c r="J84" s="30">
        <f>ROUND(F84*G84,2)</f>
        <v>0</v>
      </c>
      <c r="K84" s="32" t="s">
        <v>231</v>
      </c>
      <c r="Z84" s="30">
        <f>ROUND(IF(AQ84="5",BJ84,0),2)</f>
        <v>0</v>
      </c>
      <c r="AB84" s="30">
        <f>ROUND(IF(AQ84="1",BH84,0),2)</f>
        <v>0</v>
      </c>
      <c r="AC84" s="30">
        <f>ROUND(IF(AQ84="1",BI84,0),2)</f>
        <v>0</v>
      </c>
      <c r="AD84" s="30">
        <f>ROUND(IF(AQ84="7",BH84,0),2)</f>
        <v>0</v>
      </c>
      <c r="AE84" s="30">
        <f>ROUND(IF(AQ84="7",BI84,0),2)</f>
        <v>0</v>
      </c>
      <c r="AF84" s="30">
        <f>ROUND(IF(AQ84="2",BH84,0),2)</f>
        <v>0</v>
      </c>
      <c r="AG84" s="30">
        <f>ROUND(IF(AQ84="2",BI84,0),2)</f>
        <v>0</v>
      </c>
      <c r="AH84" s="30">
        <f>ROUND(IF(AQ84="0",BJ84,0),2)</f>
        <v>0</v>
      </c>
      <c r="AI84" s="10" t="s">
        <v>227</v>
      </c>
      <c r="AJ84" s="30">
        <f>IF(AN84=0,J84,0)</f>
        <v>0</v>
      </c>
      <c r="AK84" s="30">
        <f>IF(AN84=12,J84,0)</f>
        <v>0</v>
      </c>
      <c r="AL84" s="30">
        <f>IF(AN84=21,J84,0)</f>
        <v>0</v>
      </c>
      <c r="AN84" s="30">
        <v>21</v>
      </c>
      <c r="AO84" s="30">
        <f>G84*0</f>
        <v>0</v>
      </c>
      <c r="AP84" s="30">
        <f>G84*(1-0)</f>
        <v>0</v>
      </c>
      <c r="AQ84" s="33" t="s">
        <v>57</v>
      </c>
      <c r="AV84" s="30">
        <f>ROUND(AW84+AX84,2)</f>
        <v>0</v>
      </c>
      <c r="AW84" s="30">
        <f>ROUND(F84*AO84,2)</f>
        <v>0</v>
      </c>
      <c r="AX84" s="30">
        <f>ROUND(F84*AP84,2)</f>
        <v>0</v>
      </c>
      <c r="AY84" s="33" t="s">
        <v>232</v>
      </c>
      <c r="AZ84" s="33" t="s">
        <v>233</v>
      </c>
      <c r="BA84" s="10" t="s">
        <v>234</v>
      </c>
      <c r="BC84" s="30">
        <f>AW84+AX84</f>
        <v>0</v>
      </c>
      <c r="BD84" s="30">
        <f>G84/(100-BE84)*100</f>
        <v>0</v>
      </c>
      <c r="BE84" s="30">
        <v>0</v>
      </c>
      <c r="BF84" s="30">
        <f>84</f>
        <v>84</v>
      </c>
      <c r="BH84" s="30">
        <f>F84*AO84</f>
        <v>0</v>
      </c>
      <c r="BI84" s="30">
        <f>F84*AP84</f>
        <v>0</v>
      </c>
      <c r="BJ84" s="30">
        <f>F84*G84</f>
        <v>0</v>
      </c>
      <c r="BK84" s="30"/>
      <c r="BL84" s="30"/>
      <c r="BW84" s="30">
        <v>21</v>
      </c>
      <c r="BX84" s="4" t="s">
        <v>230</v>
      </c>
    </row>
    <row r="85" spans="1:76" ht="27" customHeight="1" x14ac:dyDescent="0.3">
      <c r="A85" s="34"/>
      <c r="B85" s="35" t="s">
        <v>65</v>
      </c>
      <c r="C85" s="76" t="s">
        <v>235</v>
      </c>
      <c r="D85" s="77"/>
      <c r="E85" s="77"/>
      <c r="F85" s="77"/>
      <c r="G85" s="78"/>
      <c r="H85" s="77"/>
      <c r="I85" s="77"/>
      <c r="J85" s="77"/>
      <c r="K85" s="79"/>
    </row>
    <row r="86" spans="1:76" ht="14.4" x14ac:dyDescent="0.3">
      <c r="A86" s="2" t="s">
        <v>236</v>
      </c>
      <c r="B86" s="3" t="s">
        <v>237</v>
      </c>
      <c r="C86" s="70" t="s">
        <v>238</v>
      </c>
      <c r="D86" s="71"/>
      <c r="E86" s="3" t="s">
        <v>187</v>
      </c>
      <c r="F86" s="30">
        <v>4</v>
      </c>
      <c r="G86" s="31">
        <v>0</v>
      </c>
      <c r="H86" s="30">
        <f>ROUND(F86*AO86,2)</f>
        <v>0</v>
      </c>
      <c r="I86" s="30">
        <f>ROUND(F86*AP86,2)</f>
        <v>0</v>
      </c>
      <c r="J86" s="30">
        <f>ROUND(F86*G86,2)</f>
        <v>0</v>
      </c>
      <c r="K86" s="32" t="s">
        <v>231</v>
      </c>
      <c r="Z86" s="30">
        <f>ROUND(IF(AQ86="5",BJ86,0),2)</f>
        <v>0</v>
      </c>
      <c r="AB86" s="30">
        <f>ROUND(IF(AQ86="1",BH86,0),2)</f>
        <v>0</v>
      </c>
      <c r="AC86" s="30">
        <f>ROUND(IF(AQ86="1",BI86,0),2)</f>
        <v>0</v>
      </c>
      <c r="AD86" s="30">
        <f>ROUND(IF(AQ86="7",BH86,0),2)</f>
        <v>0</v>
      </c>
      <c r="AE86" s="30">
        <f>ROUND(IF(AQ86="7",BI86,0),2)</f>
        <v>0</v>
      </c>
      <c r="AF86" s="30">
        <f>ROUND(IF(AQ86="2",BH86,0),2)</f>
        <v>0</v>
      </c>
      <c r="AG86" s="30">
        <f>ROUND(IF(AQ86="2",BI86,0),2)</f>
        <v>0</v>
      </c>
      <c r="AH86" s="30">
        <f>ROUND(IF(AQ86="0",BJ86,0),2)</f>
        <v>0</v>
      </c>
      <c r="AI86" s="10" t="s">
        <v>227</v>
      </c>
      <c r="AJ86" s="30">
        <f>IF(AN86=0,J86,0)</f>
        <v>0</v>
      </c>
      <c r="AK86" s="30">
        <f>IF(AN86=12,J86,0)</f>
        <v>0</v>
      </c>
      <c r="AL86" s="30">
        <f>IF(AN86=21,J86,0)</f>
        <v>0</v>
      </c>
      <c r="AN86" s="30">
        <v>21</v>
      </c>
      <c r="AO86" s="30">
        <f>G86*0</f>
        <v>0</v>
      </c>
      <c r="AP86" s="30">
        <f>G86*(1-0)</f>
        <v>0</v>
      </c>
      <c r="AQ86" s="33" t="s">
        <v>57</v>
      </c>
      <c r="AV86" s="30">
        <f>ROUND(AW86+AX86,2)</f>
        <v>0</v>
      </c>
      <c r="AW86" s="30">
        <f>ROUND(F86*AO86,2)</f>
        <v>0</v>
      </c>
      <c r="AX86" s="30">
        <f>ROUND(F86*AP86,2)</f>
        <v>0</v>
      </c>
      <c r="AY86" s="33" t="s">
        <v>232</v>
      </c>
      <c r="AZ86" s="33" t="s">
        <v>233</v>
      </c>
      <c r="BA86" s="10" t="s">
        <v>234</v>
      </c>
      <c r="BC86" s="30">
        <f>AW86+AX86</f>
        <v>0</v>
      </c>
      <c r="BD86" s="30">
        <f>G86/(100-BE86)*100</f>
        <v>0</v>
      </c>
      <c r="BE86" s="30">
        <v>0</v>
      </c>
      <c r="BF86" s="30">
        <f>86</f>
        <v>86</v>
      </c>
      <c r="BH86" s="30">
        <f>F86*AO86</f>
        <v>0</v>
      </c>
      <c r="BI86" s="30">
        <f>F86*AP86</f>
        <v>0</v>
      </c>
      <c r="BJ86" s="30">
        <f>F86*G86</f>
        <v>0</v>
      </c>
      <c r="BK86" s="30"/>
      <c r="BL86" s="30"/>
      <c r="BW86" s="30">
        <v>21</v>
      </c>
      <c r="BX86" s="4" t="s">
        <v>238</v>
      </c>
    </row>
    <row r="87" spans="1:76" ht="13.5" customHeight="1" x14ac:dyDescent="0.3">
      <c r="A87" s="34"/>
      <c r="B87" s="35" t="s">
        <v>65</v>
      </c>
      <c r="C87" s="76" t="s">
        <v>239</v>
      </c>
      <c r="D87" s="77"/>
      <c r="E87" s="77"/>
      <c r="F87" s="77"/>
      <c r="G87" s="78"/>
      <c r="H87" s="77"/>
      <c r="I87" s="77"/>
      <c r="J87" s="77"/>
      <c r="K87" s="79"/>
    </row>
    <row r="88" spans="1:76" ht="14.4" x14ac:dyDescent="0.3">
      <c r="A88" s="25" t="s">
        <v>52</v>
      </c>
      <c r="B88" s="26" t="s">
        <v>92</v>
      </c>
      <c r="C88" s="72" t="s">
        <v>93</v>
      </c>
      <c r="D88" s="73"/>
      <c r="E88" s="27" t="s">
        <v>4</v>
      </c>
      <c r="F88" s="27" t="s">
        <v>4</v>
      </c>
      <c r="G88" s="28" t="s">
        <v>4</v>
      </c>
      <c r="H88" s="1">
        <f>SUM(H89:H95)</f>
        <v>0</v>
      </c>
      <c r="I88" s="1">
        <f>SUM(I89:I95)</f>
        <v>0</v>
      </c>
      <c r="J88" s="1">
        <f>SUM(J89:J95)</f>
        <v>0</v>
      </c>
      <c r="K88" s="29" t="s">
        <v>52</v>
      </c>
      <c r="AI88" s="10" t="s">
        <v>227</v>
      </c>
      <c r="AS88" s="1">
        <f>SUM(AJ89:AJ95)</f>
        <v>0</v>
      </c>
      <c r="AT88" s="1">
        <f>SUM(AK89:AK95)</f>
        <v>0</v>
      </c>
      <c r="AU88" s="1">
        <f>SUM(AL89:AL95)</f>
        <v>0</v>
      </c>
    </row>
    <row r="89" spans="1:76" ht="14.4" x14ac:dyDescent="0.3">
      <c r="A89" s="2" t="s">
        <v>240</v>
      </c>
      <c r="B89" s="3" t="s">
        <v>241</v>
      </c>
      <c r="C89" s="70" t="s">
        <v>242</v>
      </c>
      <c r="D89" s="71"/>
      <c r="E89" s="3" t="s">
        <v>72</v>
      </c>
      <c r="F89" s="30">
        <v>57.6</v>
      </c>
      <c r="G89" s="31">
        <v>0</v>
      </c>
      <c r="H89" s="30">
        <f>ROUND(F89*AO89,2)</f>
        <v>0</v>
      </c>
      <c r="I89" s="30">
        <f>ROUND(F89*AP89,2)</f>
        <v>0</v>
      </c>
      <c r="J89" s="30">
        <f>ROUND(F89*G89,2)</f>
        <v>0</v>
      </c>
      <c r="K89" s="32" t="s">
        <v>73</v>
      </c>
      <c r="Z89" s="30">
        <f>ROUND(IF(AQ89="5",BJ89,0),2)</f>
        <v>0</v>
      </c>
      <c r="AB89" s="30">
        <f>ROUND(IF(AQ89="1",BH89,0),2)</f>
        <v>0</v>
      </c>
      <c r="AC89" s="30">
        <f>ROUND(IF(AQ89="1",BI89,0),2)</f>
        <v>0</v>
      </c>
      <c r="AD89" s="30">
        <f>ROUND(IF(AQ89="7",BH89,0),2)</f>
        <v>0</v>
      </c>
      <c r="AE89" s="30">
        <f>ROUND(IF(AQ89="7",BI89,0),2)</f>
        <v>0</v>
      </c>
      <c r="AF89" s="30">
        <f>ROUND(IF(AQ89="2",BH89,0),2)</f>
        <v>0</v>
      </c>
      <c r="AG89" s="30">
        <f>ROUND(IF(AQ89="2",BI89,0),2)</f>
        <v>0</v>
      </c>
      <c r="AH89" s="30">
        <f>ROUND(IF(AQ89="0",BJ89,0),2)</f>
        <v>0</v>
      </c>
      <c r="AI89" s="10" t="s">
        <v>227</v>
      </c>
      <c r="AJ89" s="30">
        <f>IF(AN89=0,J89,0)</f>
        <v>0</v>
      </c>
      <c r="AK89" s="30">
        <f>IF(AN89=12,J89,0)</f>
        <v>0</v>
      </c>
      <c r="AL89" s="30">
        <f>IF(AN89=21,J89,0)</f>
        <v>0</v>
      </c>
      <c r="AN89" s="30">
        <v>21</v>
      </c>
      <c r="AO89" s="30">
        <f>G89*0.161148548</f>
        <v>0</v>
      </c>
      <c r="AP89" s="30">
        <f>G89*(1-0.161148548)</f>
        <v>0</v>
      </c>
      <c r="AQ89" s="33" t="s">
        <v>57</v>
      </c>
      <c r="AV89" s="30">
        <f>ROUND(AW89+AX89,2)</f>
        <v>0</v>
      </c>
      <c r="AW89" s="30">
        <f>ROUND(F89*AO89,2)</f>
        <v>0</v>
      </c>
      <c r="AX89" s="30">
        <f>ROUND(F89*AP89,2)</f>
        <v>0</v>
      </c>
      <c r="AY89" s="33" t="s">
        <v>97</v>
      </c>
      <c r="AZ89" s="33" t="s">
        <v>243</v>
      </c>
      <c r="BA89" s="10" t="s">
        <v>234</v>
      </c>
      <c r="BC89" s="30">
        <f>AW89+AX89</f>
        <v>0</v>
      </c>
      <c r="BD89" s="30">
        <f>G89/(100-BE89)*100</f>
        <v>0</v>
      </c>
      <c r="BE89" s="30">
        <v>0</v>
      </c>
      <c r="BF89" s="30">
        <f>89</f>
        <v>89</v>
      </c>
      <c r="BH89" s="30">
        <f>F89*AO89</f>
        <v>0</v>
      </c>
      <c r="BI89" s="30">
        <f>F89*AP89</f>
        <v>0</v>
      </c>
      <c r="BJ89" s="30">
        <f>F89*G89</f>
        <v>0</v>
      </c>
      <c r="BK89" s="30"/>
      <c r="BL89" s="30">
        <v>18</v>
      </c>
      <c r="BW89" s="30">
        <v>21</v>
      </c>
      <c r="BX89" s="4" t="s">
        <v>242</v>
      </c>
    </row>
    <row r="90" spans="1:76" ht="14.4" x14ac:dyDescent="0.3">
      <c r="A90" s="2" t="s">
        <v>244</v>
      </c>
      <c r="B90" s="3" t="s">
        <v>245</v>
      </c>
      <c r="C90" s="70" t="s">
        <v>246</v>
      </c>
      <c r="D90" s="71"/>
      <c r="E90" s="3" t="s">
        <v>72</v>
      </c>
      <c r="F90" s="30">
        <v>57.6</v>
      </c>
      <c r="G90" s="31">
        <v>0</v>
      </c>
      <c r="H90" s="30">
        <f>ROUND(F90*AO90,2)</f>
        <v>0</v>
      </c>
      <c r="I90" s="30">
        <f>ROUND(F90*AP90,2)</f>
        <v>0</v>
      </c>
      <c r="J90" s="30">
        <f>ROUND(F90*G90,2)</f>
        <v>0</v>
      </c>
      <c r="K90" s="32" t="s">
        <v>73</v>
      </c>
      <c r="Z90" s="30">
        <f>ROUND(IF(AQ90="5",BJ90,0),2)</f>
        <v>0</v>
      </c>
      <c r="AB90" s="30">
        <f>ROUND(IF(AQ90="1",BH90,0),2)</f>
        <v>0</v>
      </c>
      <c r="AC90" s="30">
        <f>ROUND(IF(AQ90="1",BI90,0),2)</f>
        <v>0</v>
      </c>
      <c r="AD90" s="30">
        <f>ROUND(IF(AQ90="7",BH90,0),2)</f>
        <v>0</v>
      </c>
      <c r="AE90" s="30">
        <f>ROUND(IF(AQ90="7",BI90,0),2)</f>
        <v>0</v>
      </c>
      <c r="AF90" s="30">
        <f>ROUND(IF(AQ90="2",BH90,0),2)</f>
        <v>0</v>
      </c>
      <c r="AG90" s="30">
        <f>ROUND(IF(AQ90="2",BI90,0),2)</f>
        <v>0</v>
      </c>
      <c r="AH90" s="30">
        <f>ROUND(IF(AQ90="0",BJ90,0),2)</f>
        <v>0</v>
      </c>
      <c r="AI90" s="10" t="s">
        <v>227</v>
      </c>
      <c r="AJ90" s="30">
        <f>IF(AN90=0,J90,0)</f>
        <v>0</v>
      </c>
      <c r="AK90" s="30">
        <f>IF(AN90=12,J90,0)</f>
        <v>0</v>
      </c>
      <c r="AL90" s="30">
        <f>IF(AN90=21,J90,0)</f>
        <v>0</v>
      </c>
      <c r="AN90" s="30">
        <v>21</v>
      </c>
      <c r="AO90" s="30">
        <f>G90*0</f>
        <v>0</v>
      </c>
      <c r="AP90" s="30">
        <f>G90*(1-0)</f>
        <v>0</v>
      </c>
      <c r="AQ90" s="33" t="s">
        <v>57</v>
      </c>
      <c r="AV90" s="30">
        <f>ROUND(AW90+AX90,2)</f>
        <v>0</v>
      </c>
      <c r="AW90" s="30">
        <f>ROUND(F90*AO90,2)</f>
        <v>0</v>
      </c>
      <c r="AX90" s="30">
        <f>ROUND(F90*AP90,2)</f>
        <v>0</v>
      </c>
      <c r="AY90" s="33" t="s">
        <v>97</v>
      </c>
      <c r="AZ90" s="33" t="s">
        <v>243</v>
      </c>
      <c r="BA90" s="10" t="s">
        <v>234</v>
      </c>
      <c r="BC90" s="30">
        <f>AW90+AX90</f>
        <v>0</v>
      </c>
      <c r="BD90" s="30">
        <f>G90/(100-BE90)*100</f>
        <v>0</v>
      </c>
      <c r="BE90" s="30">
        <v>0</v>
      </c>
      <c r="BF90" s="30">
        <f>90</f>
        <v>90</v>
      </c>
      <c r="BH90" s="30">
        <f>F90*AO90</f>
        <v>0</v>
      </c>
      <c r="BI90" s="30">
        <f>F90*AP90</f>
        <v>0</v>
      </c>
      <c r="BJ90" s="30">
        <f>F90*G90</f>
        <v>0</v>
      </c>
      <c r="BK90" s="30"/>
      <c r="BL90" s="30">
        <v>18</v>
      </c>
      <c r="BW90" s="30">
        <v>21</v>
      </c>
      <c r="BX90" s="4" t="s">
        <v>246</v>
      </c>
    </row>
    <row r="91" spans="1:76" ht="14.4" x14ac:dyDescent="0.3">
      <c r="A91" s="2" t="s">
        <v>247</v>
      </c>
      <c r="B91" s="3" t="s">
        <v>248</v>
      </c>
      <c r="C91" s="70" t="s">
        <v>249</v>
      </c>
      <c r="D91" s="71"/>
      <c r="E91" s="3" t="s">
        <v>72</v>
      </c>
      <c r="F91" s="30">
        <v>522</v>
      </c>
      <c r="G91" s="31">
        <v>0</v>
      </c>
      <c r="H91" s="30">
        <f>ROUND(F91*AO91,2)</f>
        <v>0</v>
      </c>
      <c r="I91" s="30">
        <f>ROUND(F91*AP91,2)</f>
        <v>0</v>
      </c>
      <c r="J91" s="30">
        <f>ROUND(F91*G91,2)</f>
        <v>0</v>
      </c>
      <c r="K91" s="32" t="s">
        <v>73</v>
      </c>
      <c r="Z91" s="30">
        <f>ROUND(IF(AQ91="5",BJ91,0),2)</f>
        <v>0</v>
      </c>
      <c r="AB91" s="30">
        <f>ROUND(IF(AQ91="1",BH91,0),2)</f>
        <v>0</v>
      </c>
      <c r="AC91" s="30">
        <f>ROUND(IF(AQ91="1",BI91,0),2)</f>
        <v>0</v>
      </c>
      <c r="AD91" s="30">
        <f>ROUND(IF(AQ91="7",BH91,0),2)</f>
        <v>0</v>
      </c>
      <c r="AE91" s="30">
        <f>ROUND(IF(AQ91="7",BI91,0),2)</f>
        <v>0</v>
      </c>
      <c r="AF91" s="30">
        <f>ROUND(IF(AQ91="2",BH91,0),2)</f>
        <v>0</v>
      </c>
      <c r="AG91" s="30">
        <f>ROUND(IF(AQ91="2",BI91,0),2)</f>
        <v>0</v>
      </c>
      <c r="AH91" s="30">
        <f>ROUND(IF(AQ91="0",BJ91,0),2)</f>
        <v>0</v>
      </c>
      <c r="AI91" s="10" t="s">
        <v>227</v>
      </c>
      <c r="AJ91" s="30">
        <f>IF(AN91=0,J91,0)</f>
        <v>0</v>
      </c>
      <c r="AK91" s="30">
        <f>IF(AN91=12,J91,0)</f>
        <v>0</v>
      </c>
      <c r="AL91" s="30">
        <f>IF(AN91=21,J91,0)</f>
        <v>0</v>
      </c>
      <c r="AN91" s="30">
        <v>21</v>
      </c>
      <c r="AO91" s="30">
        <f>G91*0</f>
        <v>0</v>
      </c>
      <c r="AP91" s="30">
        <f>G91*(1-0)</f>
        <v>0</v>
      </c>
      <c r="AQ91" s="33" t="s">
        <v>57</v>
      </c>
      <c r="AV91" s="30">
        <f>ROUND(AW91+AX91,2)</f>
        <v>0</v>
      </c>
      <c r="AW91" s="30">
        <f>ROUND(F91*AO91,2)</f>
        <v>0</v>
      </c>
      <c r="AX91" s="30">
        <f>ROUND(F91*AP91,2)</f>
        <v>0</v>
      </c>
      <c r="AY91" s="33" t="s">
        <v>97</v>
      </c>
      <c r="AZ91" s="33" t="s">
        <v>243</v>
      </c>
      <c r="BA91" s="10" t="s">
        <v>234</v>
      </c>
      <c r="BC91" s="30">
        <f>AW91+AX91</f>
        <v>0</v>
      </c>
      <c r="BD91" s="30">
        <f>G91/(100-BE91)*100</f>
        <v>0</v>
      </c>
      <c r="BE91" s="30">
        <v>0</v>
      </c>
      <c r="BF91" s="30">
        <f>91</f>
        <v>91</v>
      </c>
      <c r="BH91" s="30">
        <f>F91*AO91</f>
        <v>0</v>
      </c>
      <c r="BI91" s="30">
        <f>F91*AP91</f>
        <v>0</v>
      </c>
      <c r="BJ91" s="30">
        <f>F91*G91</f>
        <v>0</v>
      </c>
      <c r="BK91" s="30"/>
      <c r="BL91" s="30">
        <v>18</v>
      </c>
      <c r="BW91" s="30">
        <v>21</v>
      </c>
      <c r="BX91" s="4" t="s">
        <v>249</v>
      </c>
    </row>
    <row r="92" spans="1:76" ht="14.4" x14ac:dyDescent="0.3">
      <c r="A92" s="2" t="s">
        <v>250</v>
      </c>
      <c r="B92" s="3" t="s">
        <v>251</v>
      </c>
      <c r="C92" s="70" t="s">
        <v>252</v>
      </c>
      <c r="D92" s="71"/>
      <c r="E92" s="3" t="s">
        <v>72</v>
      </c>
      <c r="F92" s="30">
        <v>105</v>
      </c>
      <c r="G92" s="31">
        <v>0</v>
      </c>
      <c r="H92" s="30">
        <f>ROUND(F92*AO92,2)</f>
        <v>0</v>
      </c>
      <c r="I92" s="30">
        <f>ROUND(F92*AP92,2)</f>
        <v>0</v>
      </c>
      <c r="J92" s="30">
        <f>ROUND(F92*G92,2)</f>
        <v>0</v>
      </c>
      <c r="K92" s="32" t="s">
        <v>73</v>
      </c>
      <c r="Z92" s="30">
        <f>ROUND(IF(AQ92="5",BJ92,0),2)</f>
        <v>0</v>
      </c>
      <c r="AB92" s="30">
        <f>ROUND(IF(AQ92="1",BH92,0),2)</f>
        <v>0</v>
      </c>
      <c r="AC92" s="30">
        <f>ROUND(IF(AQ92="1",BI92,0),2)</f>
        <v>0</v>
      </c>
      <c r="AD92" s="30">
        <f>ROUND(IF(AQ92="7",BH92,0),2)</f>
        <v>0</v>
      </c>
      <c r="AE92" s="30">
        <f>ROUND(IF(AQ92="7",BI92,0),2)</f>
        <v>0</v>
      </c>
      <c r="AF92" s="30">
        <f>ROUND(IF(AQ92="2",BH92,0),2)</f>
        <v>0</v>
      </c>
      <c r="AG92" s="30">
        <f>ROUND(IF(AQ92="2",BI92,0),2)</f>
        <v>0</v>
      </c>
      <c r="AH92" s="30">
        <f>ROUND(IF(AQ92="0",BJ92,0),2)</f>
        <v>0</v>
      </c>
      <c r="AI92" s="10" t="s">
        <v>227</v>
      </c>
      <c r="AJ92" s="30">
        <f>IF(AN92=0,J92,0)</f>
        <v>0</v>
      </c>
      <c r="AK92" s="30">
        <f>IF(AN92=12,J92,0)</f>
        <v>0</v>
      </c>
      <c r="AL92" s="30">
        <f>IF(AN92=21,J92,0)</f>
        <v>0</v>
      </c>
      <c r="AN92" s="30">
        <v>21</v>
      </c>
      <c r="AO92" s="30">
        <f>G92*0</f>
        <v>0</v>
      </c>
      <c r="AP92" s="30">
        <f>G92*(1-0)</f>
        <v>0</v>
      </c>
      <c r="AQ92" s="33" t="s">
        <v>57</v>
      </c>
      <c r="AV92" s="30">
        <f>ROUND(AW92+AX92,2)</f>
        <v>0</v>
      </c>
      <c r="AW92" s="30">
        <f>ROUND(F92*AO92,2)</f>
        <v>0</v>
      </c>
      <c r="AX92" s="30">
        <f>ROUND(F92*AP92,2)</f>
        <v>0</v>
      </c>
      <c r="AY92" s="33" t="s">
        <v>97</v>
      </c>
      <c r="AZ92" s="33" t="s">
        <v>243</v>
      </c>
      <c r="BA92" s="10" t="s">
        <v>234</v>
      </c>
      <c r="BC92" s="30">
        <f>AW92+AX92</f>
        <v>0</v>
      </c>
      <c r="BD92" s="30">
        <f>G92/(100-BE92)*100</f>
        <v>0</v>
      </c>
      <c r="BE92" s="30">
        <v>0</v>
      </c>
      <c r="BF92" s="30">
        <f>92</f>
        <v>92</v>
      </c>
      <c r="BH92" s="30">
        <f>F92*AO92</f>
        <v>0</v>
      </c>
      <c r="BI92" s="30">
        <f>F92*AP92</f>
        <v>0</v>
      </c>
      <c r="BJ92" s="30">
        <f>F92*G92</f>
        <v>0</v>
      </c>
      <c r="BK92" s="30"/>
      <c r="BL92" s="30">
        <v>18</v>
      </c>
      <c r="BW92" s="30">
        <v>21</v>
      </c>
      <c r="BX92" s="4" t="s">
        <v>252</v>
      </c>
    </row>
    <row r="93" spans="1:76" ht="14.4" x14ac:dyDescent="0.3">
      <c r="A93" s="2" t="s">
        <v>253</v>
      </c>
      <c r="B93" s="3" t="s">
        <v>254</v>
      </c>
      <c r="C93" s="70" t="s">
        <v>255</v>
      </c>
      <c r="D93" s="71"/>
      <c r="E93" s="3" t="s">
        <v>72</v>
      </c>
      <c r="F93" s="30">
        <v>1044</v>
      </c>
      <c r="G93" s="31">
        <v>0</v>
      </c>
      <c r="H93" s="30">
        <f>ROUND(F93*AO93,2)</f>
        <v>0</v>
      </c>
      <c r="I93" s="30">
        <f>ROUND(F93*AP93,2)</f>
        <v>0</v>
      </c>
      <c r="J93" s="30">
        <f>ROUND(F93*G93,2)</f>
        <v>0</v>
      </c>
      <c r="K93" s="32" t="s">
        <v>73</v>
      </c>
      <c r="Z93" s="30">
        <f>ROUND(IF(AQ93="5",BJ93,0),2)</f>
        <v>0</v>
      </c>
      <c r="AB93" s="30">
        <f>ROUND(IF(AQ93="1",BH93,0),2)</f>
        <v>0</v>
      </c>
      <c r="AC93" s="30">
        <f>ROUND(IF(AQ93="1",BI93,0),2)</f>
        <v>0</v>
      </c>
      <c r="AD93" s="30">
        <f>ROUND(IF(AQ93="7",BH93,0),2)</f>
        <v>0</v>
      </c>
      <c r="AE93" s="30">
        <f>ROUND(IF(AQ93="7",BI93,0),2)</f>
        <v>0</v>
      </c>
      <c r="AF93" s="30">
        <f>ROUND(IF(AQ93="2",BH93,0),2)</f>
        <v>0</v>
      </c>
      <c r="AG93" s="30">
        <f>ROUND(IF(AQ93="2",BI93,0),2)</f>
        <v>0</v>
      </c>
      <c r="AH93" s="30">
        <f>ROUND(IF(AQ93="0",BJ93,0),2)</f>
        <v>0</v>
      </c>
      <c r="AI93" s="10" t="s">
        <v>227</v>
      </c>
      <c r="AJ93" s="30">
        <f>IF(AN93=0,J93,0)</f>
        <v>0</v>
      </c>
      <c r="AK93" s="30">
        <f>IF(AN93=12,J93,0)</f>
        <v>0</v>
      </c>
      <c r="AL93" s="30">
        <f>IF(AN93=21,J93,0)</f>
        <v>0</v>
      </c>
      <c r="AN93" s="30">
        <v>21</v>
      </c>
      <c r="AO93" s="30">
        <f>G93*0.006557377</f>
        <v>0</v>
      </c>
      <c r="AP93" s="30">
        <f>G93*(1-0.006557377)</f>
        <v>0</v>
      </c>
      <c r="AQ93" s="33" t="s">
        <v>57</v>
      </c>
      <c r="AV93" s="30">
        <f>ROUND(AW93+AX93,2)</f>
        <v>0</v>
      </c>
      <c r="AW93" s="30">
        <f>ROUND(F93*AO93,2)</f>
        <v>0</v>
      </c>
      <c r="AX93" s="30">
        <f>ROUND(F93*AP93,2)</f>
        <v>0</v>
      </c>
      <c r="AY93" s="33" t="s">
        <v>97</v>
      </c>
      <c r="AZ93" s="33" t="s">
        <v>243</v>
      </c>
      <c r="BA93" s="10" t="s">
        <v>234</v>
      </c>
      <c r="BC93" s="30">
        <f>AW93+AX93</f>
        <v>0</v>
      </c>
      <c r="BD93" s="30">
        <f>G93/(100-BE93)*100</f>
        <v>0</v>
      </c>
      <c r="BE93" s="30">
        <v>0</v>
      </c>
      <c r="BF93" s="30">
        <f>93</f>
        <v>93</v>
      </c>
      <c r="BH93" s="30">
        <f>F93*AO93</f>
        <v>0</v>
      </c>
      <c r="BI93" s="30">
        <f>F93*AP93</f>
        <v>0</v>
      </c>
      <c r="BJ93" s="30">
        <f>F93*G93</f>
        <v>0</v>
      </c>
      <c r="BK93" s="30"/>
      <c r="BL93" s="30">
        <v>18</v>
      </c>
      <c r="BW93" s="30">
        <v>21</v>
      </c>
      <c r="BX93" s="4" t="s">
        <v>255</v>
      </c>
    </row>
    <row r="94" spans="1:76" ht="13.5" customHeight="1" x14ac:dyDescent="0.3">
      <c r="A94" s="34"/>
      <c r="B94" s="35" t="s">
        <v>65</v>
      </c>
      <c r="C94" s="76" t="s">
        <v>256</v>
      </c>
      <c r="D94" s="77"/>
      <c r="E94" s="77"/>
      <c r="F94" s="77"/>
      <c r="G94" s="78"/>
      <c r="H94" s="77"/>
      <c r="I94" s="77"/>
      <c r="J94" s="77"/>
      <c r="K94" s="79"/>
    </row>
    <row r="95" spans="1:76" ht="14.4" x14ac:dyDescent="0.3">
      <c r="A95" s="2" t="s">
        <v>257</v>
      </c>
      <c r="B95" s="3" t="s">
        <v>258</v>
      </c>
      <c r="C95" s="70" t="s">
        <v>259</v>
      </c>
      <c r="D95" s="71"/>
      <c r="E95" s="3" t="s">
        <v>72</v>
      </c>
      <c r="F95" s="30">
        <v>210</v>
      </c>
      <c r="G95" s="31">
        <v>0</v>
      </c>
      <c r="H95" s="30">
        <f>ROUND(F95*AO95,2)</f>
        <v>0</v>
      </c>
      <c r="I95" s="30">
        <f>ROUND(F95*AP95,2)</f>
        <v>0</v>
      </c>
      <c r="J95" s="30">
        <f>ROUND(F95*G95,2)</f>
        <v>0</v>
      </c>
      <c r="K95" s="32" t="s">
        <v>73</v>
      </c>
      <c r="Z95" s="30">
        <f>ROUND(IF(AQ95="5",BJ95,0),2)</f>
        <v>0</v>
      </c>
      <c r="AB95" s="30">
        <f>ROUND(IF(AQ95="1",BH95,0),2)</f>
        <v>0</v>
      </c>
      <c r="AC95" s="30">
        <f>ROUND(IF(AQ95="1",BI95,0),2)</f>
        <v>0</v>
      </c>
      <c r="AD95" s="30">
        <f>ROUND(IF(AQ95="7",BH95,0),2)</f>
        <v>0</v>
      </c>
      <c r="AE95" s="30">
        <f>ROUND(IF(AQ95="7",BI95,0),2)</f>
        <v>0</v>
      </c>
      <c r="AF95" s="30">
        <f>ROUND(IF(AQ95="2",BH95,0),2)</f>
        <v>0</v>
      </c>
      <c r="AG95" s="30">
        <f>ROUND(IF(AQ95="2",BI95,0),2)</f>
        <v>0</v>
      </c>
      <c r="AH95" s="30">
        <f>ROUND(IF(AQ95="0",BJ95,0),2)</f>
        <v>0</v>
      </c>
      <c r="AI95" s="10" t="s">
        <v>227</v>
      </c>
      <c r="AJ95" s="30">
        <f>IF(AN95=0,J95,0)</f>
        <v>0</v>
      </c>
      <c r="AK95" s="30">
        <f>IF(AN95=12,J95,0)</f>
        <v>0</v>
      </c>
      <c r="AL95" s="30">
        <f>IF(AN95=21,J95,0)</f>
        <v>0</v>
      </c>
      <c r="AN95" s="30">
        <v>21</v>
      </c>
      <c r="AO95" s="30">
        <f>G95*0.007256894</f>
        <v>0</v>
      </c>
      <c r="AP95" s="30">
        <f>G95*(1-0.007256894)</f>
        <v>0</v>
      </c>
      <c r="AQ95" s="33" t="s">
        <v>57</v>
      </c>
      <c r="AV95" s="30">
        <f>ROUND(AW95+AX95,2)</f>
        <v>0</v>
      </c>
      <c r="AW95" s="30">
        <f>ROUND(F95*AO95,2)</f>
        <v>0</v>
      </c>
      <c r="AX95" s="30">
        <f>ROUND(F95*AP95,2)</f>
        <v>0</v>
      </c>
      <c r="AY95" s="33" t="s">
        <v>97</v>
      </c>
      <c r="AZ95" s="33" t="s">
        <v>243</v>
      </c>
      <c r="BA95" s="10" t="s">
        <v>234</v>
      </c>
      <c r="BC95" s="30">
        <f>AW95+AX95</f>
        <v>0</v>
      </c>
      <c r="BD95" s="30">
        <f>G95/(100-BE95)*100</f>
        <v>0</v>
      </c>
      <c r="BE95" s="30">
        <v>0</v>
      </c>
      <c r="BF95" s="30">
        <f>95</f>
        <v>95</v>
      </c>
      <c r="BH95" s="30">
        <f>F95*AO95</f>
        <v>0</v>
      </c>
      <c r="BI95" s="30">
        <f>F95*AP95</f>
        <v>0</v>
      </c>
      <c r="BJ95" s="30">
        <f>F95*G95</f>
        <v>0</v>
      </c>
      <c r="BK95" s="30"/>
      <c r="BL95" s="30">
        <v>18</v>
      </c>
      <c r="BW95" s="30">
        <v>21</v>
      </c>
      <c r="BX95" s="4" t="s">
        <v>259</v>
      </c>
    </row>
    <row r="96" spans="1:76" ht="13.5" customHeight="1" x14ac:dyDescent="0.3">
      <c r="A96" s="34"/>
      <c r="B96" s="35" t="s">
        <v>65</v>
      </c>
      <c r="C96" s="76" t="s">
        <v>260</v>
      </c>
      <c r="D96" s="77"/>
      <c r="E96" s="77"/>
      <c r="F96" s="77"/>
      <c r="G96" s="78"/>
      <c r="H96" s="77"/>
      <c r="I96" s="77"/>
      <c r="J96" s="77"/>
      <c r="K96" s="79"/>
    </row>
    <row r="97" spans="1:76" ht="14.4" x14ac:dyDescent="0.3">
      <c r="A97" s="25" t="s">
        <v>52</v>
      </c>
      <c r="B97" s="26" t="s">
        <v>52</v>
      </c>
      <c r="C97" s="72" t="s">
        <v>261</v>
      </c>
      <c r="D97" s="73"/>
      <c r="E97" s="27" t="s">
        <v>4</v>
      </c>
      <c r="F97" s="27" t="s">
        <v>4</v>
      </c>
      <c r="G97" s="28" t="s">
        <v>4</v>
      </c>
      <c r="H97" s="1">
        <f>H98+H101+H181</f>
        <v>0</v>
      </c>
      <c r="I97" s="1">
        <f>I98+I101+I181</f>
        <v>0</v>
      </c>
      <c r="J97" s="1">
        <f>J98+J101+J181</f>
        <v>0</v>
      </c>
      <c r="K97" s="29" t="s">
        <v>52</v>
      </c>
    </row>
    <row r="98" spans="1:76" ht="14.4" x14ac:dyDescent="0.3">
      <c r="A98" s="25" t="s">
        <v>52</v>
      </c>
      <c r="B98" s="26" t="s">
        <v>67</v>
      </c>
      <c r="C98" s="72" t="s">
        <v>68</v>
      </c>
      <c r="D98" s="73"/>
      <c r="E98" s="27" t="s">
        <v>4</v>
      </c>
      <c r="F98" s="27" t="s">
        <v>4</v>
      </c>
      <c r="G98" s="28" t="s">
        <v>4</v>
      </c>
      <c r="H98" s="1">
        <f>SUM(H99:H99)</f>
        <v>0</v>
      </c>
      <c r="I98" s="1">
        <f>SUM(I99:I99)</f>
        <v>0</v>
      </c>
      <c r="J98" s="1">
        <f>SUM(J99:J99)</f>
        <v>0</v>
      </c>
      <c r="K98" s="29" t="s">
        <v>52</v>
      </c>
      <c r="AI98" s="10" t="s">
        <v>262</v>
      </c>
      <c r="AS98" s="1">
        <f>SUM(AJ99:AJ99)</f>
        <v>0</v>
      </c>
      <c r="AT98" s="1">
        <f>SUM(AK99:AK99)</f>
        <v>0</v>
      </c>
      <c r="AU98" s="1">
        <f>SUM(AL99:AL99)</f>
        <v>0</v>
      </c>
    </row>
    <row r="99" spans="1:76" ht="14.4" x14ac:dyDescent="0.3">
      <c r="A99" s="2" t="s">
        <v>263</v>
      </c>
      <c r="B99" s="3" t="s">
        <v>264</v>
      </c>
      <c r="C99" s="70" t="s">
        <v>265</v>
      </c>
      <c r="D99" s="71"/>
      <c r="E99" s="3" t="s">
        <v>72</v>
      </c>
      <c r="F99" s="30">
        <v>940</v>
      </c>
      <c r="G99" s="31">
        <v>0</v>
      </c>
      <c r="H99" s="30">
        <f>ROUND(F99*AO99,2)</f>
        <v>0</v>
      </c>
      <c r="I99" s="30">
        <f>ROUND(F99*AP99,2)</f>
        <v>0</v>
      </c>
      <c r="J99" s="30">
        <f>ROUND(F99*G99,2)</f>
        <v>0</v>
      </c>
      <c r="K99" s="32" t="s">
        <v>73</v>
      </c>
      <c r="Z99" s="30">
        <f>ROUND(IF(AQ99="5",BJ99,0),2)</f>
        <v>0</v>
      </c>
      <c r="AB99" s="30">
        <f>ROUND(IF(AQ99="1",BH99,0),2)</f>
        <v>0</v>
      </c>
      <c r="AC99" s="30">
        <f>ROUND(IF(AQ99="1",BI99,0),2)</f>
        <v>0</v>
      </c>
      <c r="AD99" s="30">
        <f>ROUND(IF(AQ99="7",BH99,0),2)</f>
        <v>0</v>
      </c>
      <c r="AE99" s="30">
        <f>ROUND(IF(AQ99="7",BI99,0),2)</f>
        <v>0</v>
      </c>
      <c r="AF99" s="30">
        <f>ROUND(IF(AQ99="2",BH99,0),2)</f>
        <v>0</v>
      </c>
      <c r="AG99" s="30">
        <f>ROUND(IF(AQ99="2",BI99,0),2)</f>
        <v>0</v>
      </c>
      <c r="AH99" s="30">
        <f>ROUND(IF(AQ99="0",BJ99,0),2)</f>
        <v>0</v>
      </c>
      <c r="AI99" s="10" t="s">
        <v>262</v>
      </c>
      <c r="AJ99" s="30">
        <f>IF(AN99=0,J99,0)</f>
        <v>0</v>
      </c>
      <c r="AK99" s="30">
        <f>IF(AN99=12,J99,0)</f>
        <v>0</v>
      </c>
      <c r="AL99" s="30">
        <f>IF(AN99=21,J99,0)</f>
        <v>0</v>
      </c>
      <c r="AN99" s="30">
        <v>21</v>
      </c>
      <c r="AO99" s="30">
        <f>G99*0</f>
        <v>0</v>
      </c>
      <c r="AP99" s="30">
        <f>G99*(1-0)</f>
        <v>0</v>
      </c>
      <c r="AQ99" s="33" t="s">
        <v>57</v>
      </c>
      <c r="AV99" s="30">
        <f>ROUND(AW99+AX99,2)</f>
        <v>0</v>
      </c>
      <c r="AW99" s="30">
        <f>ROUND(F99*AO99,2)</f>
        <v>0</v>
      </c>
      <c r="AX99" s="30">
        <f>ROUND(F99*AP99,2)</f>
        <v>0</v>
      </c>
      <c r="AY99" s="33" t="s">
        <v>74</v>
      </c>
      <c r="AZ99" s="33" t="s">
        <v>266</v>
      </c>
      <c r="BA99" s="10" t="s">
        <v>267</v>
      </c>
      <c r="BC99" s="30">
        <f>AW99+AX99</f>
        <v>0</v>
      </c>
      <c r="BD99" s="30">
        <f>G99/(100-BE99)*100</f>
        <v>0</v>
      </c>
      <c r="BE99" s="30">
        <v>0</v>
      </c>
      <c r="BF99" s="30">
        <f>99</f>
        <v>99</v>
      </c>
      <c r="BH99" s="30">
        <f>F99*AO99</f>
        <v>0</v>
      </c>
      <c r="BI99" s="30">
        <f>F99*AP99</f>
        <v>0</v>
      </c>
      <c r="BJ99" s="30">
        <f>F99*G99</f>
        <v>0</v>
      </c>
      <c r="BK99" s="30"/>
      <c r="BL99" s="30">
        <v>11</v>
      </c>
      <c r="BW99" s="30">
        <v>21</v>
      </c>
      <c r="BX99" s="4" t="s">
        <v>265</v>
      </c>
    </row>
    <row r="100" spans="1:76" ht="13.5" customHeight="1" x14ac:dyDescent="0.3">
      <c r="A100" s="34"/>
      <c r="B100" s="35" t="s">
        <v>65</v>
      </c>
      <c r="C100" s="76" t="s">
        <v>268</v>
      </c>
      <c r="D100" s="77"/>
      <c r="E100" s="77"/>
      <c r="F100" s="77"/>
      <c r="G100" s="78"/>
      <c r="H100" s="77"/>
      <c r="I100" s="77"/>
      <c r="J100" s="77"/>
      <c r="K100" s="79"/>
    </row>
    <row r="101" spans="1:76" ht="14.4" x14ac:dyDescent="0.3">
      <c r="A101" s="25" t="s">
        <v>52</v>
      </c>
      <c r="B101" s="26" t="s">
        <v>92</v>
      </c>
      <c r="C101" s="72" t="s">
        <v>93</v>
      </c>
      <c r="D101" s="73"/>
      <c r="E101" s="27" t="s">
        <v>4</v>
      </c>
      <c r="F101" s="27" t="s">
        <v>4</v>
      </c>
      <c r="G101" s="28" t="s">
        <v>4</v>
      </c>
      <c r="H101" s="1">
        <f>SUM(H102:H179)</f>
        <v>0</v>
      </c>
      <c r="I101" s="1">
        <f>SUM(I102:I179)</f>
        <v>0</v>
      </c>
      <c r="J101" s="1">
        <f>SUM(J102:J179)</f>
        <v>0</v>
      </c>
      <c r="K101" s="29" t="s">
        <v>52</v>
      </c>
      <c r="AI101" s="10" t="s">
        <v>262</v>
      </c>
      <c r="AS101" s="1">
        <f>SUM(AJ102:AJ179)</f>
        <v>0</v>
      </c>
      <c r="AT101" s="1">
        <f>SUM(AK102:AK179)</f>
        <v>0</v>
      </c>
      <c r="AU101" s="1">
        <f>SUM(AL102:AL179)</f>
        <v>0</v>
      </c>
    </row>
    <row r="102" spans="1:76" ht="14.4" x14ac:dyDescent="0.3">
      <c r="A102" s="2" t="s">
        <v>269</v>
      </c>
      <c r="B102" s="3" t="s">
        <v>270</v>
      </c>
      <c r="C102" s="70" t="s">
        <v>271</v>
      </c>
      <c r="D102" s="71"/>
      <c r="E102" s="3" t="s">
        <v>180</v>
      </c>
      <c r="F102" s="30">
        <v>6</v>
      </c>
      <c r="G102" s="31">
        <v>0</v>
      </c>
      <c r="H102" s="30">
        <f>ROUND(F102*AO102,2)</f>
        <v>0</v>
      </c>
      <c r="I102" s="30">
        <f>ROUND(F102*AP102,2)</f>
        <v>0</v>
      </c>
      <c r="J102" s="30">
        <f>ROUND(F102*G102,2)</f>
        <v>0</v>
      </c>
      <c r="K102" s="32" t="s">
        <v>73</v>
      </c>
      <c r="Z102" s="30">
        <f>ROUND(IF(AQ102="5",BJ102,0),2)</f>
        <v>0</v>
      </c>
      <c r="AB102" s="30">
        <f>ROUND(IF(AQ102="1",BH102,0),2)</f>
        <v>0</v>
      </c>
      <c r="AC102" s="30">
        <f>ROUND(IF(AQ102="1",BI102,0),2)</f>
        <v>0</v>
      </c>
      <c r="AD102" s="30">
        <f>ROUND(IF(AQ102="7",BH102,0),2)</f>
        <v>0</v>
      </c>
      <c r="AE102" s="30">
        <f>ROUND(IF(AQ102="7",BI102,0),2)</f>
        <v>0</v>
      </c>
      <c r="AF102" s="30">
        <f>ROUND(IF(AQ102="2",BH102,0),2)</f>
        <v>0</v>
      </c>
      <c r="AG102" s="30">
        <f>ROUND(IF(AQ102="2",BI102,0),2)</f>
        <v>0</v>
      </c>
      <c r="AH102" s="30">
        <f>ROUND(IF(AQ102="0",BJ102,0),2)</f>
        <v>0</v>
      </c>
      <c r="AI102" s="10" t="s">
        <v>262</v>
      </c>
      <c r="AJ102" s="30">
        <f>IF(AN102=0,J102,0)</f>
        <v>0</v>
      </c>
      <c r="AK102" s="30">
        <f>IF(AN102=12,J102,0)</f>
        <v>0</v>
      </c>
      <c r="AL102" s="30">
        <f>IF(AN102=21,J102,0)</f>
        <v>0</v>
      </c>
      <c r="AN102" s="30">
        <v>21</v>
      </c>
      <c r="AO102" s="30">
        <f>G102*0</f>
        <v>0</v>
      </c>
      <c r="AP102" s="30">
        <f>G102*(1-0)</f>
        <v>0</v>
      </c>
      <c r="AQ102" s="33" t="s">
        <v>57</v>
      </c>
      <c r="AV102" s="30">
        <f>ROUND(AW102+AX102,2)</f>
        <v>0</v>
      </c>
      <c r="AW102" s="30">
        <f>ROUND(F102*AO102,2)</f>
        <v>0</v>
      </c>
      <c r="AX102" s="30">
        <f>ROUND(F102*AP102,2)</f>
        <v>0</v>
      </c>
      <c r="AY102" s="33" t="s">
        <v>97</v>
      </c>
      <c r="AZ102" s="33" t="s">
        <v>266</v>
      </c>
      <c r="BA102" s="10" t="s">
        <v>267</v>
      </c>
      <c r="BC102" s="30">
        <f>AW102+AX102</f>
        <v>0</v>
      </c>
      <c r="BD102" s="30">
        <f>G102/(100-BE102)*100</f>
        <v>0</v>
      </c>
      <c r="BE102" s="30">
        <v>0</v>
      </c>
      <c r="BF102" s="30">
        <f>102</f>
        <v>102</v>
      </c>
      <c r="BH102" s="30">
        <f>F102*AO102</f>
        <v>0</v>
      </c>
      <c r="BI102" s="30">
        <f>F102*AP102</f>
        <v>0</v>
      </c>
      <c r="BJ102" s="30">
        <f>F102*G102</f>
        <v>0</v>
      </c>
      <c r="BK102" s="30"/>
      <c r="BL102" s="30">
        <v>18</v>
      </c>
      <c r="BW102" s="30">
        <v>21</v>
      </c>
      <c r="BX102" s="4" t="s">
        <v>271</v>
      </c>
    </row>
    <row r="103" spans="1:76" ht="14.4" x14ac:dyDescent="0.3">
      <c r="A103" s="2" t="s">
        <v>272</v>
      </c>
      <c r="B103" s="3" t="s">
        <v>273</v>
      </c>
      <c r="C103" s="70" t="s">
        <v>274</v>
      </c>
      <c r="D103" s="71"/>
      <c r="E103" s="3" t="s">
        <v>180</v>
      </c>
      <c r="F103" s="30">
        <v>420</v>
      </c>
      <c r="G103" s="31">
        <v>0</v>
      </c>
      <c r="H103" s="30">
        <f>ROUND(F103*AO103,2)</f>
        <v>0</v>
      </c>
      <c r="I103" s="30">
        <f>ROUND(F103*AP103,2)</f>
        <v>0</v>
      </c>
      <c r="J103" s="30">
        <f>ROUND(F103*G103,2)</f>
        <v>0</v>
      </c>
      <c r="K103" s="32" t="s">
        <v>73</v>
      </c>
      <c r="Z103" s="30">
        <f>ROUND(IF(AQ103="5",BJ103,0),2)</f>
        <v>0</v>
      </c>
      <c r="AB103" s="30">
        <f>ROUND(IF(AQ103="1",BH103,0),2)</f>
        <v>0</v>
      </c>
      <c r="AC103" s="30">
        <f>ROUND(IF(AQ103="1",BI103,0),2)</f>
        <v>0</v>
      </c>
      <c r="AD103" s="30">
        <f>ROUND(IF(AQ103="7",BH103,0),2)</f>
        <v>0</v>
      </c>
      <c r="AE103" s="30">
        <f>ROUND(IF(AQ103="7",BI103,0),2)</f>
        <v>0</v>
      </c>
      <c r="AF103" s="30">
        <f>ROUND(IF(AQ103="2",BH103,0),2)</f>
        <v>0</v>
      </c>
      <c r="AG103" s="30">
        <f>ROUND(IF(AQ103="2",BI103,0),2)</f>
        <v>0</v>
      </c>
      <c r="AH103" s="30">
        <f>ROUND(IF(AQ103="0",BJ103,0),2)</f>
        <v>0</v>
      </c>
      <c r="AI103" s="10" t="s">
        <v>262</v>
      </c>
      <c r="AJ103" s="30">
        <f>IF(AN103=0,J103,0)</f>
        <v>0</v>
      </c>
      <c r="AK103" s="30">
        <f>IF(AN103=12,J103,0)</f>
        <v>0</v>
      </c>
      <c r="AL103" s="30">
        <f>IF(AN103=21,J103,0)</f>
        <v>0</v>
      </c>
      <c r="AN103" s="30">
        <v>21</v>
      </c>
      <c r="AO103" s="30">
        <f>G103*0</f>
        <v>0</v>
      </c>
      <c r="AP103" s="30">
        <f>G103*(1-0)</f>
        <v>0</v>
      </c>
      <c r="AQ103" s="33" t="s">
        <v>57</v>
      </c>
      <c r="AV103" s="30">
        <f>ROUND(AW103+AX103,2)</f>
        <v>0</v>
      </c>
      <c r="AW103" s="30">
        <f>ROUND(F103*AO103,2)</f>
        <v>0</v>
      </c>
      <c r="AX103" s="30">
        <f>ROUND(F103*AP103,2)</f>
        <v>0</v>
      </c>
      <c r="AY103" s="33" t="s">
        <v>97</v>
      </c>
      <c r="AZ103" s="33" t="s">
        <v>266</v>
      </c>
      <c r="BA103" s="10" t="s">
        <v>267</v>
      </c>
      <c r="BC103" s="30">
        <f>AW103+AX103</f>
        <v>0</v>
      </c>
      <c r="BD103" s="30">
        <f>G103/(100-BE103)*100</f>
        <v>0</v>
      </c>
      <c r="BE103" s="30">
        <v>0</v>
      </c>
      <c r="BF103" s="30">
        <f>103</f>
        <v>103</v>
      </c>
      <c r="BH103" s="30">
        <f>F103*AO103</f>
        <v>0</v>
      </c>
      <c r="BI103" s="30">
        <f>F103*AP103</f>
        <v>0</v>
      </c>
      <c r="BJ103" s="30">
        <f>F103*G103</f>
        <v>0</v>
      </c>
      <c r="BK103" s="30"/>
      <c r="BL103" s="30">
        <v>18</v>
      </c>
      <c r="BW103" s="30">
        <v>21</v>
      </c>
      <c r="BX103" s="4" t="s">
        <v>274</v>
      </c>
    </row>
    <row r="104" spans="1:76" ht="14.4" x14ac:dyDescent="0.3">
      <c r="A104" s="34"/>
      <c r="C104" s="37" t="s">
        <v>175</v>
      </c>
      <c r="D104" s="37" t="s">
        <v>275</v>
      </c>
      <c r="F104" s="38">
        <v>93</v>
      </c>
      <c r="K104" s="39"/>
    </row>
    <row r="105" spans="1:76" ht="14.4" x14ac:dyDescent="0.3">
      <c r="A105" s="34"/>
      <c r="C105" s="37" t="s">
        <v>276</v>
      </c>
      <c r="D105" s="37" t="s">
        <v>277</v>
      </c>
      <c r="F105" s="38">
        <v>327</v>
      </c>
      <c r="K105" s="39"/>
    </row>
    <row r="106" spans="1:76" ht="14.4" x14ac:dyDescent="0.3">
      <c r="A106" s="2" t="s">
        <v>278</v>
      </c>
      <c r="B106" s="3" t="s">
        <v>279</v>
      </c>
      <c r="C106" s="70" t="s">
        <v>280</v>
      </c>
      <c r="D106" s="71"/>
      <c r="E106" s="3" t="s">
        <v>180</v>
      </c>
      <c r="F106" s="30">
        <v>61</v>
      </c>
      <c r="G106" s="31">
        <v>0</v>
      </c>
      <c r="H106" s="30">
        <f>ROUND(F106*AO106,2)</f>
        <v>0</v>
      </c>
      <c r="I106" s="30">
        <f>ROUND(F106*AP106,2)</f>
        <v>0</v>
      </c>
      <c r="J106" s="30">
        <f>ROUND(F106*G106,2)</f>
        <v>0</v>
      </c>
      <c r="K106" s="32" t="s">
        <v>73</v>
      </c>
      <c r="Z106" s="30">
        <f>ROUND(IF(AQ106="5",BJ106,0),2)</f>
        <v>0</v>
      </c>
      <c r="AB106" s="30">
        <f>ROUND(IF(AQ106="1",BH106,0),2)</f>
        <v>0</v>
      </c>
      <c r="AC106" s="30">
        <f>ROUND(IF(AQ106="1",BI106,0),2)</f>
        <v>0</v>
      </c>
      <c r="AD106" s="30">
        <f>ROUND(IF(AQ106="7",BH106,0),2)</f>
        <v>0</v>
      </c>
      <c r="AE106" s="30">
        <f>ROUND(IF(AQ106="7",BI106,0),2)</f>
        <v>0</v>
      </c>
      <c r="AF106" s="30">
        <f>ROUND(IF(AQ106="2",BH106,0),2)</f>
        <v>0</v>
      </c>
      <c r="AG106" s="30">
        <f>ROUND(IF(AQ106="2",BI106,0),2)</f>
        <v>0</v>
      </c>
      <c r="AH106" s="30">
        <f>ROUND(IF(AQ106="0",BJ106,0),2)</f>
        <v>0</v>
      </c>
      <c r="AI106" s="10" t="s">
        <v>262</v>
      </c>
      <c r="AJ106" s="30">
        <f>IF(AN106=0,J106,0)</f>
        <v>0</v>
      </c>
      <c r="AK106" s="30">
        <f>IF(AN106=12,J106,0)</f>
        <v>0</v>
      </c>
      <c r="AL106" s="30">
        <f>IF(AN106=21,J106,0)</f>
        <v>0</v>
      </c>
      <c r="AN106" s="30">
        <v>21</v>
      </c>
      <c r="AO106" s="30">
        <f>G106*0</f>
        <v>0</v>
      </c>
      <c r="AP106" s="30">
        <f>G106*(1-0)</f>
        <v>0</v>
      </c>
      <c r="AQ106" s="33" t="s">
        <v>57</v>
      </c>
      <c r="AV106" s="30">
        <f>ROUND(AW106+AX106,2)</f>
        <v>0</v>
      </c>
      <c r="AW106" s="30">
        <f>ROUND(F106*AO106,2)</f>
        <v>0</v>
      </c>
      <c r="AX106" s="30">
        <f>ROUND(F106*AP106,2)</f>
        <v>0</v>
      </c>
      <c r="AY106" s="33" t="s">
        <v>97</v>
      </c>
      <c r="AZ106" s="33" t="s">
        <v>266</v>
      </c>
      <c r="BA106" s="10" t="s">
        <v>267</v>
      </c>
      <c r="BC106" s="30">
        <f>AW106+AX106</f>
        <v>0</v>
      </c>
      <c r="BD106" s="30">
        <f>G106/(100-BE106)*100</f>
        <v>0</v>
      </c>
      <c r="BE106" s="30">
        <v>0</v>
      </c>
      <c r="BF106" s="30">
        <f>106</f>
        <v>106</v>
      </c>
      <c r="BH106" s="30">
        <f>F106*AO106</f>
        <v>0</v>
      </c>
      <c r="BI106" s="30">
        <f>F106*AP106</f>
        <v>0</v>
      </c>
      <c r="BJ106" s="30">
        <f>F106*G106</f>
        <v>0</v>
      </c>
      <c r="BK106" s="30"/>
      <c r="BL106" s="30">
        <v>18</v>
      </c>
      <c r="BW106" s="30">
        <v>21</v>
      </c>
      <c r="BX106" s="4" t="s">
        <v>280</v>
      </c>
    </row>
    <row r="107" spans="1:76" ht="14.4" x14ac:dyDescent="0.3">
      <c r="A107" s="34"/>
      <c r="C107" s="37" t="s">
        <v>281</v>
      </c>
      <c r="D107" s="37" t="s">
        <v>282</v>
      </c>
      <c r="F107" s="38">
        <v>61</v>
      </c>
      <c r="K107" s="39"/>
    </row>
    <row r="108" spans="1:76" ht="14.4" x14ac:dyDescent="0.3">
      <c r="A108" s="2" t="s">
        <v>283</v>
      </c>
      <c r="B108" s="3" t="s">
        <v>284</v>
      </c>
      <c r="C108" s="70" t="s">
        <v>285</v>
      </c>
      <c r="D108" s="71"/>
      <c r="E108" s="3" t="s">
        <v>180</v>
      </c>
      <c r="F108" s="30">
        <v>6</v>
      </c>
      <c r="G108" s="31">
        <v>0</v>
      </c>
      <c r="H108" s="30">
        <f t="shared" ref="H108:H119" si="0">ROUND(F108*AO108,2)</f>
        <v>0</v>
      </c>
      <c r="I108" s="30">
        <f t="shared" ref="I108:I119" si="1">ROUND(F108*AP108,2)</f>
        <v>0</v>
      </c>
      <c r="J108" s="30">
        <f t="shared" ref="J108:J119" si="2">ROUND(F108*G108,2)</f>
        <v>0</v>
      </c>
      <c r="K108" s="32" t="s">
        <v>73</v>
      </c>
      <c r="Z108" s="30">
        <f t="shared" ref="Z108:Z119" si="3">ROUND(IF(AQ108="5",BJ108,0),2)</f>
        <v>0</v>
      </c>
      <c r="AB108" s="30">
        <f t="shared" ref="AB108:AB119" si="4">ROUND(IF(AQ108="1",BH108,0),2)</f>
        <v>0</v>
      </c>
      <c r="AC108" s="30">
        <f t="shared" ref="AC108:AC119" si="5">ROUND(IF(AQ108="1",BI108,0),2)</f>
        <v>0</v>
      </c>
      <c r="AD108" s="30">
        <f t="shared" ref="AD108:AD119" si="6">ROUND(IF(AQ108="7",BH108,0),2)</f>
        <v>0</v>
      </c>
      <c r="AE108" s="30">
        <f t="shared" ref="AE108:AE119" si="7">ROUND(IF(AQ108="7",BI108,0),2)</f>
        <v>0</v>
      </c>
      <c r="AF108" s="30">
        <f t="shared" ref="AF108:AF119" si="8">ROUND(IF(AQ108="2",BH108,0),2)</f>
        <v>0</v>
      </c>
      <c r="AG108" s="30">
        <f t="shared" ref="AG108:AG119" si="9">ROUND(IF(AQ108="2",BI108,0),2)</f>
        <v>0</v>
      </c>
      <c r="AH108" s="30">
        <f t="shared" ref="AH108:AH119" si="10">ROUND(IF(AQ108="0",BJ108,0),2)</f>
        <v>0</v>
      </c>
      <c r="AI108" s="10" t="s">
        <v>262</v>
      </c>
      <c r="AJ108" s="30">
        <f t="shared" ref="AJ108:AJ119" si="11">IF(AN108=0,J108,0)</f>
        <v>0</v>
      </c>
      <c r="AK108" s="30">
        <f t="shared" ref="AK108:AK119" si="12">IF(AN108=12,J108,0)</f>
        <v>0</v>
      </c>
      <c r="AL108" s="30">
        <f t="shared" ref="AL108:AL119" si="13">IF(AN108=21,J108,0)</f>
        <v>0</v>
      </c>
      <c r="AN108" s="30">
        <v>21</v>
      </c>
      <c r="AO108" s="30">
        <f>G108*0.00223407</f>
        <v>0</v>
      </c>
      <c r="AP108" s="30">
        <f>G108*(1-0.00223407)</f>
        <v>0</v>
      </c>
      <c r="AQ108" s="33" t="s">
        <v>57</v>
      </c>
      <c r="AV108" s="30">
        <f t="shared" ref="AV108:AV119" si="14">ROUND(AW108+AX108,2)</f>
        <v>0</v>
      </c>
      <c r="AW108" s="30">
        <f t="shared" ref="AW108:AW119" si="15">ROUND(F108*AO108,2)</f>
        <v>0</v>
      </c>
      <c r="AX108" s="30">
        <f t="shared" ref="AX108:AX119" si="16">ROUND(F108*AP108,2)</f>
        <v>0</v>
      </c>
      <c r="AY108" s="33" t="s">
        <v>97</v>
      </c>
      <c r="AZ108" s="33" t="s">
        <v>266</v>
      </c>
      <c r="BA108" s="10" t="s">
        <v>267</v>
      </c>
      <c r="BC108" s="30">
        <f t="shared" ref="BC108:BC119" si="17">AW108+AX108</f>
        <v>0</v>
      </c>
      <c r="BD108" s="30">
        <f t="shared" ref="BD108:BD119" si="18">G108/(100-BE108)*100</f>
        <v>0</v>
      </c>
      <c r="BE108" s="30">
        <v>0</v>
      </c>
      <c r="BF108" s="30">
        <f>108</f>
        <v>108</v>
      </c>
      <c r="BH108" s="30">
        <f t="shared" ref="BH108:BH119" si="19">F108*AO108</f>
        <v>0</v>
      </c>
      <c r="BI108" s="30">
        <f t="shared" ref="BI108:BI119" si="20">F108*AP108</f>
        <v>0</v>
      </c>
      <c r="BJ108" s="30">
        <f t="shared" ref="BJ108:BJ119" si="21">F108*G108</f>
        <v>0</v>
      </c>
      <c r="BK108" s="30"/>
      <c r="BL108" s="30">
        <v>18</v>
      </c>
      <c r="BW108" s="30">
        <v>21</v>
      </c>
      <c r="BX108" s="4" t="s">
        <v>285</v>
      </c>
    </row>
    <row r="109" spans="1:76" ht="14.4" x14ac:dyDescent="0.3">
      <c r="A109" s="2" t="s">
        <v>286</v>
      </c>
      <c r="B109" s="3" t="s">
        <v>287</v>
      </c>
      <c r="C109" s="70" t="s">
        <v>288</v>
      </c>
      <c r="D109" s="71"/>
      <c r="E109" s="3" t="s">
        <v>187</v>
      </c>
      <c r="F109" s="30">
        <v>4</v>
      </c>
      <c r="G109" s="31">
        <v>0</v>
      </c>
      <c r="H109" s="30">
        <f t="shared" si="0"/>
        <v>0</v>
      </c>
      <c r="I109" s="30">
        <f t="shared" si="1"/>
        <v>0</v>
      </c>
      <c r="J109" s="30">
        <f t="shared" si="2"/>
        <v>0</v>
      </c>
      <c r="K109" s="32" t="s">
        <v>289</v>
      </c>
      <c r="Z109" s="30">
        <f t="shared" si="3"/>
        <v>0</v>
      </c>
      <c r="AB109" s="30">
        <f t="shared" si="4"/>
        <v>0</v>
      </c>
      <c r="AC109" s="30">
        <f t="shared" si="5"/>
        <v>0</v>
      </c>
      <c r="AD109" s="30">
        <f t="shared" si="6"/>
        <v>0</v>
      </c>
      <c r="AE109" s="30">
        <f t="shared" si="7"/>
        <v>0</v>
      </c>
      <c r="AF109" s="30">
        <f t="shared" si="8"/>
        <v>0</v>
      </c>
      <c r="AG109" s="30">
        <f t="shared" si="9"/>
        <v>0</v>
      </c>
      <c r="AH109" s="30">
        <f t="shared" si="10"/>
        <v>0</v>
      </c>
      <c r="AI109" s="10" t="s">
        <v>262</v>
      </c>
      <c r="AJ109" s="30">
        <f t="shared" si="11"/>
        <v>0</v>
      </c>
      <c r="AK109" s="30">
        <f t="shared" si="12"/>
        <v>0</v>
      </c>
      <c r="AL109" s="30">
        <f t="shared" si="13"/>
        <v>0</v>
      </c>
      <c r="AN109" s="30">
        <v>21</v>
      </c>
      <c r="AO109" s="30">
        <f>G109*1</f>
        <v>0</v>
      </c>
      <c r="AP109" s="30">
        <f>G109*(1-1)</f>
        <v>0</v>
      </c>
      <c r="AQ109" s="33" t="s">
        <v>57</v>
      </c>
      <c r="AV109" s="30">
        <f t="shared" si="14"/>
        <v>0</v>
      </c>
      <c r="AW109" s="30">
        <f t="shared" si="15"/>
        <v>0</v>
      </c>
      <c r="AX109" s="30">
        <f t="shared" si="16"/>
        <v>0</v>
      </c>
      <c r="AY109" s="33" t="s">
        <v>97</v>
      </c>
      <c r="AZ109" s="33" t="s">
        <v>266</v>
      </c>
      <c r="BA109" s="10" t="s">
        <v>267</v>
      </c>
      <c r="BC109" s="30">
        <f t="shared" si="17"/>
        <v>0</v>
      </c>
      <c r="BD109" s="30">
        <f t="shared" si="18"/>
        <v>0</v>
      </c>
      <c r="BE109" s="30">
        <v>0</v>
      </c>
      <c r="BF109" s="30">
        <f>109</f>
        <v>109</v>
      </c>
      <c r="BH109" s="30">
        <f t="shared" si="19"/>
        <v>0</v>
      </c>
      <c r="BI109" s="30">
        <f t="shared" si="20"/>
        <v>0</v>
      </c>
      <c r="BJ109" s="30">
        <f t="shared" si="21"/>
        <v>0</v>
      </c>
      <c r="BK109" s="30"/>
      <c r="BL109" s="30">
        <v>18</v>
      </c>
      <c r="BW109" s="30">
        <v>21</v>
      </c>
      <c r="BX109" s="4" t="s">
        <v>288</v>
      </c>
    </row>
    <row r="110" spans="1:76" ht="14.4" x14ac:dyDescent="0.3">
      <c r="A110" s="2" t="s">
        <v>116</v>
      </c>
      <c r="B110" s="3" t="s">
        <v>290</v>
      </c>
      <c r="C110" s="70" t="s">
        <v>291</v>
      </c>
      <c r="D110" s="71"/>
      <c r="E110" s="3" t="s">
        <v>180</v>
      </c>
      <c r="F110" s="30">
        <v>1</v>
      </c>
      <c r="G110" s="31">
        <v>0</v>
      </c>
      <c r="H110" s="30">
        <f t="shared" si="0"/>
        <v>0</v>
      </c>
      <c r="I110" s="30">
        <f t="shared" si="1"/>
        <v>0</v>
      </c>
      <c r="J110" s="30">
        <f t="shared" si="2"/>
        <v>0</v>
      </c>
      <c r="K110" s="32" t="s">
        <v>292</v>
      </c>
      <c r="Z110" s="30">
        <f t="shared" si="3"/>
        <v>0</v>
      </c>
      <c r="AB110" s="30">
        <f t="shared" si="4"/>
        <v>0</v>
      </c>
      <c r="AC110" s="30">
        <f t="shared" si="5"/>
        <v>0</v>
      </c>
      <c r="AD110" s="30">
        <f t="shared" si="6"/>
        <v>0</v>
      </c>
      <c r="AE110" s="30">
        <f t="shared" si="7"/>
        <v>0</v>
      </c>
      <c r="AF110" s="30">
        <f t="shared" si="8"/>
        <v>0</v>
      </c>
      <c r="AG110" s="30">
        <f t="shared" si="9"/>
        <v>0</v>
      </c>
      <c r="AH110" s="30">
        <f t="shared" si="10"/>
        <v>0</v>
      </c>
      <c r="AI110" s="10" t="s">
        <v>262</v>
      </c>
      <c r="AJ110" s="30">
        <f t="shared" si="11"/>
        <v>0</v>
      </c>
      <c r="AK110" s="30">
        <f t="shared" si="12"/>
        <v>0</v>
      </c>
      <c r="AL110" s="30">
        <f t="shared" si="13"/>
        <v>0</v>
      </c>
      <c r="AN110" s="30">
        <v>21</v>
      </c>
      <c r="AO110" s="30">
        <f>G110*1</f>
        <v>0</v>
      </c>
      <c r="AP110" s="30">
        <f>G110*(1-1)</f>
        <v>0</v>
      </c>
      <c r="AQ110" s="33" t="s">
        <v>57</v>
      </c>
      <c r="AV110" s="30">
        <f t="shared" si="14"/>
        <v>0</v>
      </c>
      <c r="AW110" s="30">
        <f t="shared" si="15"/>
        <v>0</v>
      </c>
      <c r="AX110" s="30">
        <f t="shared" si="16"/>
        <v>0</v>
      </c>
      <c r="AY110" s="33" t="s">
        <v>97</v>
      </c>
      <c r="AZ110" s="33" t="s">
        <v>266</v>
      </c>
      <c r="BA110" s="10" t="s">
        <v>267</v>
      </c>
      <c r="BC110" s="30">
        <f t="shared" si="17"/>
        <v>0</v>
      </c>
      <c r="BD110" s="30">
        <f t="shared" si="18"/>
        <v>0</v>
      </c>
      <c r="BE110" s="30">
        <v>0</v>
      </c>
      <c r="BF110" s="30">
        <f>110</f>
        <v>110</v>
      </c>
      <c r="BH110" s="30">
        <f t="shared" si="19"/>
        <v>0</v>
      </c>
      <c r="BI110" s="30">
        <f t="shared" si="20"/>
        <v>0</v>
      </c>
      <c r="BJ110" s="30">
        <f t="shared" si="21"/>
        <v>0</v>
      </c>
      <c r="BK110" s="30"/>
      <c r="BL110" s="30">
        <v>18</v>
      </c>
      <c r="BW110" s="30">
        <v>21</v>
      </c>
      <c r="BX110" s="4" t="s">
        <v>291</v>
      </c>
    </row>
    <row r="111" spans="1:76" ht="14.4" x14ac:dyDescent="0.3">
      <c r="A111" s="2" t="s">
        <v>293</v>
      </c>
      <c r="B111" s="3" t="s">
        <v>294</v>
      </c>
      <c r="C111" s="70" t="s">
        <v>295</v>
      </c>
      <c r="D111" s="71"/>
      <c r="E111" s="3" t="s">
        <v>180</v>
      </c>
      <c r="F111" s="30">
        <v>1</v>
      </c>
      <c r="G111" s="31">
        <v>0</v>
      </c>
      <c r="H111" s="30">
        <f t="shared" si="0"/>
        <v>0</v>
      </c>
      <c r="I111" s="30">
        <f t="shared" si="1"/>
        <v>0</v>
      </c>
      <c r="J111" s="30">
        <f t="shared" si="2"/>
        <v>0</v>
      </c>
      <c r="K111" s="32" t="s">
        <v>292</v>
      </c>
      <c r="Z111" s="30">
        <f t="shared" si="3"/>
        <v>0</v>
      </c>
      <c r="AB111" s="30">
        <f t="shared" si="4"/>
        <v>0</v>
      </c>
      <c r="AC111" s="30">
        <f t="shared" si="5"/>
        <v>0</v>
      </c>
      <c r="AD111" s="30">
        <f t="shared" si="6"/>
        <v>0</v>
      </c>
      <c r="AE111" s="30">
        <f t="shared" si="7"/>
        <v>0</v>
      </c>
      <c r="AF111" s="30">
        <f t="shared" si="8"/>
        <v>0</v>
      </c>
      <c r="AG111" s="30">
        <f t="shared" si="9"/>
        <v>0</v>
      </c>
      <c r="AH111" s="30">
        <f t="shared" si="10"/>
        <v>0</v>
      </c>
      <c r="AI111" s="10" t="s">
        <v>262</v>
      </c>
      <c r="AJ111" s="30">
        <f t="shared" si="11"/>
        <v>0</v>
      </c>
      <c r="AK111" s="30">
        <f t="shared" si="12"/>
        <v>0</v>
      </c>
      <c r="AL111" s="30">
        <f t="shared" si="13"/>
        <v>0</v>
      </c>
      <c r="AN111" s="30">
        <v>21</v>
      </c>
      <c r="AO111" s="30">
        <f>G111*1</f>
        <v>0</v>
      </c>
      <c r="AP111" s="30">
        <f>G111*(1-1)</f>
        <v>0</v>
      </c>
      <c r="AQ111" s="33" t="s">
        <v>57</v>
      </c>
      <c r="AV111" s="30">
        <f t="shared" si="14"/>
        <v>0</v>
      </c>
      <c r="AW111" s="30">
        <f t="shared" si="15"/>
        <v>0</v>
      </c>
      <c r="AX111" s="30">
        <f t="shared" si="16"/>
        <v>0</v>
      </c>
      <c r="AY111" s="33" t="s">
        <v>97</v>
      </c>
      <c r="AZ111" s="33" t="s">
        <v>266</v>
      </c>
      <c r="BA111" s="10" t="s">
        <v>267</v>
      </c>
      <c r="BC111" s="30">
        <f t="shared" si="17"/>
        <v>0</v>
      </c>
      <c r="BD111" s="30">
        <f t="shared" si="18"/>
        <v>0</v>
      </c>
      <c r="BE111" s="30">
        <v>0</v>
      </c>
      <c r="BF111" s="30">
        <f>111</f>
        <v>111</v>
      </c>
      <c r="BH111" s="30">
        <f t="shared" si="19"/>
        <v>0</v>
      </c>
      <c r="BI111" s="30">
        <f t="shared" si="20"/>
        <v>0</v>
      </c>
      <c r="BJ111" s="30">
        <f t="shared" si="21"/>
        <v>0</v>
      </c>
      <c r="BK111" s="30"/>
      <c r="BL111" s="30">
        <v>18</v>
      </c>
      <c r="BW111" s="30">
        <v>21</v>
      </c>
      <c r="BX111" s="4" t="s">
        <v>295</v>
      </c>
    </row>
    <row r="112" spans="1:76" ht="14.4" x14ac:dyDescent="0.3">
      <c r="A112" s="2" t="s">
        <v>296</v>
      </c>
      <c r="B112" s="3" t="s">
        <v>297</v>
      </c>
      <c r="C112" s="70" t="s">
        <v>298</v>
      </c>
      <c r="D112" s="71"/>
      <c r="E112" s="3" t="s">
        <v>180</v>
      </c>
      <c r="F112" s="30">
        <v>61</v>
      </c>
      <c r="G112" s="31">
        <v>0</v>
      </c>
      <c r="H112" s="30">
        <f t="shared" si="0"/>
        <v>0</v>
      </c>
      <c r="I112" s="30">
        <f t="shared" si="1"/>
        <v>0</v>
      </c>
      <c r="J112" s="30">
        <f t="shared" si="2"/>
        <v>0</v>
      </c>
      <c r="K112" s="32" t="s">
        <v>73</v>
      </c>
      <c r="Z112" s="30">
        <f t="shared" si="3"/>
        <v>0</v>
      </c>
      <c r="AB112" s="30">
        <f t="shared" si="4"/>
        <v>0</v>
      </c>
      <c r="AC112" s="30">
        <f t="shared" si="5"/>
        <v>0</v>
      </c>
      <c r="AD112" s="30">
        <f t="shared" si="6"/>
        <v>0</v>
      </c>
      <c r="AE112" s="30">
        <f t="shared" si="7"/>
        <v>0</v>
      </c>
      <c r="AF112" s="30">
        <f t="shared" si="8"/>
        <v>0</v>
      </c>
      <c r="AG112" s="30">
        <f t="shared" si="9"/>
        <v>0</v>
      </c>
      <c r="AH112" s="30">
        <f t="shared" si="10"/>
        <v>0</v>
      </c>
      <c r="AI112" s="10" t="s">
        <v>262</v>
      </c>
      <c r="AJ112" s="30">
        <f t="shared" si="11"/>
        <v>0</v>
      </c>
      <c r="AK112" s="30">
        <f t="shared" si="12"/>
        <v>0</v>
      </c>
      <c r="AL112" s="30">
        <f t="shared" si="13"/>
        <v>0</v>
      </c>
      <c r="AN112" s="30">
        <v>21</v>
      </c>
      <c r="AO112" s="30">
        <f>G112*0.005620915</f>
        <v>0</v>
      </c>
      <c r="AP112" s="30">
        <f>G112*(1-0.005620915)</f>
        <v>0</v>
      </c>
      <c r="AQ112" s="33" t="s">
        <v>57</v>
      </c>
      <c r="AV112" s="30">
        <f t="shared" si="14"/>
        <v>0</v>
      </c>
      <c r="AW112" s="30">
        <f t="shared" si="15"/>
        <v>0</v>
      </c>
      <c r="AX112" s="30">
        <f t="shared" si="16"/>
        <v>0</v>
      </c>
      <c r="AY112" s="33" t="s">
        <v>97</v>
      </c>
      <c r="AZ112" s="33" t="s">
        <v>266</v>
      </c>
      <c r="BA112" s="10" t="s">
        <v>267</v>
      </c>
      <c r="BC112" s="30">
        <f t="shared" si="17"/>
        <v>0</v>
      </c>
      <c r="BD112" s="30">
        <f t="shared" si="18"/>
        <v>0</v>
      </c>
      <c r="BE112" s="30">
        <v>0</v>
      </c>
      <c r="BF112" s="30">
        <f>112</f>
        <v>112</v>
      </c>
      <c r="BH112" s="30">
        <f t="shared" si="19"/>
        <v>0</v>
      </c>
      <c r="BI112" s="30">
        <f t="shared" si="20"/>
        <v>0</v>
      </c>
      <c r="BJ112" s="30">
        <f t="shared" si="21"/>
        <v>0</v>
      </c>
      <c r="BK112" s="30"/>
      <c r="BL112" s="30">
        <v>18</v>
      </c>
      <c r="BW112" s="30">
        <v>21</v>
      </c>
      <c r="BX112" s="4" t="s">
        <v>298</v>
      </c>
    </row>
    <row r="113" spans="1:76" ht="14.4" x14ac:dyDescent="0.3">
      <c r="A113" s="2" t="s">
        <v>299</v>
      </c>
      <c r="B113" s="3" t="s">
        <v>300</v>
      </c>
      <c r="C113" s="70" t="s">
        <v>301</v>
      </c>
      <c r="D113" s="71"/>
      <c r="E113" s="3" t="s">
        <v>180</v>
      </c>
      <c r="F113" s="30">
        <v>61</v>
      </c>
      <c r="G113" s="31">
        <v>0</v>
      </c>
      <c r="H113" s="30">
        <f t="shared" si="0"/>
        <v>0</v>
      </c>
      <c r="I113" s="30">
        <f t="shared" si="1"/>
        <v>0</v>
      </c>
      <c r="J113" s="30">
        <f t="shared" si="2"/>
        <v>0</v>
      </c>
      <c r="K113" s="32" t="s">
        <v>292</v>
      </c>
      <c r="Z113" s="30">
        <f t="shared" si="3"/>
        <v>0</v>
      </c>
      <c r="AB113" s="30">
        <f t="shared" si="4"/>
        <v>0</v>
      </c>
      <c r="AC113" s="30">
        <f t="shared" si="5"/>
        <v>0</v>
      </c>
      <c r="AD113" s="30">
        <f t="shared" si="6"/>
        <v>0</v>
      </c>
      <c r="AE113" s="30">
        <f t="shared" si="7"/>
        <v>0</v>
      </c>
      <c r="AF113" s="30">
        <f t="shared" si="8"/>
        <v>0</v>
      </c>
      <c r="AG113" s="30">
        <f t="shared" si="9"/>
        <v>0</v>
      </c>
      <c r="AH113" s="30">
        <f t="shared" si="10"/>
        <v>0</v>
      </c>
      <c r="AI113" s="10" t="s">
        <v>262</v>
      </c>
      <c r="AJ113" s="30">
        <f t="shared" si="11"/>
        <v>0</v>
      </c>
      <c r="AK113" s="30">
        <f t="shared" si="12"/>
        <v>0</v>
      </c>
      <c r="AL113" s="30">
        <f t="shared" si="13"/>
        <v>0</v>
      </c>
      <c r="AN113" s="30">
        <v>21</v>
      </c>
      <c r="AO113" s="30">
        <f>G113*1</f>
        <v>0</v>
      </c>
      <c r="AP113" s="30">
        <f>G113*(1-1)</f>
        <v>0</v>
      </c>
      <c r="AQ113" s="33" t="s">
        <v>57</v>
      </c>
      <c r="AV113" s="30">
        <f t="shared" si="14"/>
        <v>0</v>
      </c>
      <c r="AW113" s="30">
        <f t="shared" si="15"/>
        <v>0</v>
      </c>
      <c r="AX113" s="30">
        <f t="shared" si="16"/>
        <v>0</v>
      </c>
      <c r="AY113" s="33" t="s">
        <v>97</v>
      </c>
      <c r="AZ113" s="33" t="s">
        <v>266</v>
      </c>
      <c r="BA113" s="10" t="s">
        <v>267</v>
      </c>
      <c r="BC113" s="30">
        <f t="shared" si="17"/>
        <v>0</v>
      </c>
      <c r="BD113" s="30">
        <f t="shared" si="18"/>
        <v>0</v>
      </c>
      <c r="BE113" s="30">
        <v>0</v>
      </c>
      <c r="BF113" s="30">
        <f>113</f>
        <v>113</v>
      </c>
      <c r="BH113" s="30">
        <f t="shared" si="19"/>
        <v>0</v>
      </c>
      <c r="BI113" s="30">
        <f t="shared" si="20"/>
        <v>0</v>
      </c>
      <c r="BJ113" s="30">
        <f t="shared" si="21"/>
        <v>0</v>
      </c>
      <c r="BK113" s="30"/>
      <c r="BL113" s="30">
        <v>18</v>
      </c>
      <c r="BW113" s="30">
        <v>21</v>
      </c>
      <c r="BX113" s="4" t="s">
        <v>301</v>
      </c>
    </row>
    <row r="114" spans="1:76" ht="14.4" x14ac:dyDescent="0.3">
      <c r="A114" s="2" t="s">
        <v>302</v>
      </c>
      <c r="B114" s="3" t="s">
        <v>303</v>
      </c>
      <c r="C114" s="70" t="s">
        <v>304</v>
      </c>
      <c r="D114" s="71"/>
      <c r="E114" s="3" t="s">
        <v>180</v>
      </c>
      <c r="F114" s="30">
        <v>93</v>
      </c>
      <c r="G114" s="31">
        <v>0</v>
      </c>
      <c r="H114" s="30">
        <f t="shared" si="0"/>
        <v>0</v>
      </c>
      <c r="I114" s="30">
        <f t="shared" si="1"/>
        <v>0</v>
      </c>
      <c r="J114" s="30">
        <f t="shared" si="2"/>
        <v>0</v>
      </c>
      <c r="K114" s="32" t="s">
        <v>73</v>
      </c>
      <c r="Z114" s="30">
        <f t="shared" si="3"/>
        <v>0</v>
      </c>
      <c r="AB114" s="30">
        <f t="shared" si="4"/>
        <v>0</v>
      </c>
      <c r="AC114" s="30">
        <f t="shared" si="5"/>
        <v>0</v>
      </c>
      <c r="AD114" s="30">
        <f t="shared" si="6"/>
        <v>0</v>
      </c>
      <c r="AE114" s="30">
        <f t="shared" si="7"/>
        <v>0</v>
      </c>
      <c r="AF114" s="30">
        <f t="shared" si="8"/>
        <v>0</v>
      </c>
      <c r="AG114" s="30">
        <f t="shared" si="9"/>
        <v>0</v>
      </c>
      <c r="AH114" s="30">
        <f t="shared" si="10"/>
        <v>0</v>
      </c>
      <c r="AI114" s="10" t="s">
        <v>262</v>
      </c>
      <c r="AJ114" s="30">
        <f t="shared" si="11"/>
        <v>0</v>
      </c>
      <c r="AK114" s="30">
        <f t="shared" si="12"/>
        <v>0</v>
      </c>
      <c r="AL114" s="30">
        <f t="shared" si="13"/>
        <v>0</v>
      </c>
      <c r="AN114" s="30">
        <v>21</v>
      </c>
      <c r="AO114" s="30">
        <f>G114*0.013292117</f>
        <v>0</v>
      </c>
      <c r="AP114" s="30">
        <f>G114*(1-0.013292117)</f>
        <v>0</v>
      </c>
      <c r="AQ114" s="33" t="s">
        <v>57</v>
      </c>
      <c r="AV114" s="30">
        <f t="shared" si="14"/>
        <v>0</v>
      </c>
      <c r="AW114" s="30">
        <f t="shared" si="15"/>
        <v>0</v>
      </c>
      <c r="AX114" s="30">
        <f t="shared" si="16"/>
        <v>0</v>
      </c>
      <c r="AY114" s="33" t="s">
        <v>97</v>
      </c>
      <c r="AZ114" s="33" t="s">
        <v>266</v>
      </c>
      <c r="BA114" s="10" t="s">
        <v>267</v>
      </c>
      <c r="BC114" s="30">
        <f t="shared" si="17"/>
        <v>0</v>
      </c>
      <c r="BD114" s="30">
        <f t="shared" si="18"/>
        <v>0</v>
      </c>
      <c r="BE114" s="30">
        <v>0</v>
      </c>
      <c r="BF114" s="30">
        <f>114</f>
        <v>114</v>
      </c>
      <c r="BH114" s="30">
        <f t="shared" si="19"/>
        <v>0</v>
      </c>
      <c r="BI114" s="30">
        <f t="shared" si="20"/>
        <v>0</v>
      </c>
      <c r="BJ114" s="30">
        <f t="shared" si="21"/>
        <v>0</v>
      </c>
      <c r="BK114" s="30"/>
      <c r="BL114" s="30">
        <v>18</v>
      </c>
      <c r="BW114" s="30">
        <v>21</v>
      </c>
      <c r="BX114" s="4" t="s">
        <v>304</v>
      </c>
    </row>
    <row r="115" spans="1:76" ht="14.4" x14ac:dyDescent="0.3">
      <c r="A115" s="2" t="s">
        <v>305</v>
      </c>
      <c r="B115" s="3" t="s">
        <v>306</v>
      </c>
      <c r="C115" s="70" t="s">
        <v>307</v>
      </c>
      <c r="D115" s="71"/>
      <c r="E115" s="3" t="s">
        <v>180</v>
      </c>
      <c r="F115" s="30">
        <v>93</v>
      </c>
      <c r="G115" s="31">
        <v>0</v>
      </c>
      <c r="H115" s="30">
        <f t="shared" si="0"/>
        <v>0</v>
      </c>
      <c r="I115" s="30">
        <f t="shared" si="1"/>
        <v>0</v>
      </c>
      <c r="J115" s="30">
        <f t="shared" si="2"/>
        <v>0</v>
      </c>
      <c r="K115" s="32" t="s">
        <v>292</v>
      </c>
      <c r="Z115" s="30">
        <f t="shared" si="3"/>
        <v>0</v>
      </c>
      <c r="AB115" s="30">
        <f t="shared" si="4"/>
        <v>0</v>
      </c>
      <c r="AC115" s="30">
        <f t="shared" si="5"/>
        <v>0</v>
      </c>
      <c r="AD115" s="30">
        <f t="shared" si="6"/>
        <v>0</v>
      </c>
      <c r="AE115" s="30">
        <f t="shared" si="7"/>
        <v>0</v>
      </c>
      <c r="AF115" s="30">
        <f t="shared" si="8"/>
        <v>0</v>
      </c>
      <c r="AG115" s="30">
        <f t="shared" si="9"/>
        <v>0</v>
      </c>
      <c r="AH115" s="30">
        <f t="shared" si="10"/>
        <v>0</v>
      </c>
      <c r="AI115" s="10" t="s">
        <v>262</v>
      </c>
      <c r="AJ115" s="30">
        <f t="shared" si="11"/>
        <v>0</v>
      </c>
      <c r="AK115" s="30">
        <f t="shared" si="12"/>
        <v>0</v>
      </c>
      <c r="AL115" s="30">
        <f t="shared" si="13"/>
        <v>0</v>
      </c>
      <c r="AN115" s="30">
        <v>21</v>
      </c>
      <c r="AO115" s="30">
        <f>G115*1</f>
        <v>0</v>
      </c>
      <c r="AP115" s="30">
        <f>G115*(1-1)</f>
        <v>0</v>
      </c>
      <c r="AQ115" s="33" t="s">
        <v>57</v>
      </c>
      <c r="AV115" s="30">
        <f t="shared" si="14"/>
        <v>0</v>
      </c>
      <c r="AW115" s="30">
        <f t="shared" si="15"/>
        <v>0</v>
      </c>
      <c r="AX115" s="30">
        <f t="shared" si="16"/>
        <v>0</v>
      </c>
      <c r="AY115" s="33" t="s">
        <v>97</v>
      </c>
      <c r="AZ115" s="33" t="s">
        <v>266</v>
      </c>
      <c r="BA115" s="10" t="s">
        <v>267</v>
      </c>
      <c r="BC115" s="30">
        <f t="shared" si="17"/>
        <v>0</v>
      </c>
      <c r="BD115" s="30">
        <f t="shared" si="18"/>
        <v>0</v>
      </c>
      <c r="BE115" s="30">
        <v>0</v>
      </c>
      <c r="BF115" s="30">
        <f>115</f>
        <v>115</v>
      </c>
      <c r="BH115" s="30">
        <f t="shared" si="19"/>
        <v>0</v>
      </c>
      <c r="BI115" s="30">
        <f t="shared" si="20"/>
        <v>0</v>
      </c>
      <c r="BJ115" s="30">
        <f t="shared" si="21"/>
        <v>0</v>
      </c>
      <c r="BK115" s="30"/>
      <c r="BL115" s="30">
        <v>18</v>
      </c>
      <c r="BW115" s="30">
        <v>21</v>
      </c>
      <c r="BX115" s="4" t="s">
        <v>307</v>
      </c>
    </row>
    <row r="116" spans="1:76" ht="14.4" x14ac:dyDescent="0.3">
      <c r="A116" s="2" t="s">
        <v>308</v>
      </c>
      <c r="B116" s="3" t="s">
        <v>309</v>
      </c>
      <c r="C116" s="70" t="s">
        <v>310</v>
      </c>
      <c r="D116" s="71"/>
      <c r="E116" s="3" t="s">
        <v>180</v>
      </c>
      <c r="F116" s="30">
        <v>327</v>
      </c>
      <c r="G116" s="31">
        <v>0</v>
      </c>
      <c r="H116" s="30">
        <f t="shared" si="0"/>
        <v>0</v>
      </c>
      <c r="I116" s="30">
        <f t="shared" si="1"/>
        <v>0</v>
      </c>
      <c r="J116" s="30">
        <f t="shared" si="2"/>
        <v>0</v>
      </c>
      <c r="K116" s="32" t="s">
        <v>73</v>
      </c>
      <c r="Z116" s="30">
        <f t="shared" si="3"/>
        <v>0</v>
      </c>
      <c r="AB116" s="30">
        <f t="shared" si="4"/>
        <v>0</v>
      </c>
      <c r="AC116" s="30">
        <f t="shared" si="5"/>
        <v>0</v>
      </c>
      <c r="AD116" s="30">
        <f t="shared" si="6"/>
        <v>0</v>
      </c>
      <c r="AE116" s="30">
        <f t="shared" si="7"/>
        <v>0</v>
      </c>
      <c r="AF116" s="30">
        <f t="shared" si="8"/>
        <v>0</v>
      </c>
      <c r="AG116" s="30">
        <f t="shared" si="9"/>
        <v>0</v>
      </c>
      <c r="AH116" s="30">
        <f t="shared" si="10"/>
        <v>0</v>
      </c>
      <c r="AI116" s="10" t="s">
        <v>262</v>
      </c>
      <c r="AJ116" s="30">
        <f t="shared" si="11"/>
        <v>0</v>
      </c>
      <c r="AK116" s="30">
        <f t="shared" si="12"/>
        <v>0</v>
      </c>
      <c r="AL116" s="30">
        <f t="shared" si="13"/>
        <v>0</v>
      </c>
      <c r="AN116" s="30">
        <v>21</v>
      </c>
      <c r="AO116" s="30">
        <f>G116*0.007432432</f>
        <v>0</v>
      </c>
      <c r="AP116" s="30">
        <f>G116*(1-0.007432432)</f>
        <v>0</v>
      </c>
      <c r="AQ116" s="33" t="s">
        <v>57</v>
      </c>
      <c r="AV116" s="30">
        <f t="shared" si="14"/>
        <v>0</v>
      </c>
      <c r="AW116" s="30">
        <f t="shared" si="15"/>
        <v>0</v>
      </c>
      <c r="AX116" s="30">
        <f t="shared" si="16"/>
        <v>0</v>
      </c>
      <c r="AY116" s="33" t="s">
        <v>97</v>
      </c>
      <c r="AZ116" s="33" t="s">
        <v>266</v>
      </c>
      <c r="BA116" s="10" t="s">
        <v>267</v>
      </c>
      <c r="BC116" s="30">
        <f t="shared" si="17"/>
        <v>0</v>
      </c>
      <c r="BD116" s="30">
        <f t="shared" si="18"/>
        <v>0</v>
      </c>
      <c r="BE116" s="30">
        <v>0</v>
      </c>
      <c r="BF116" s="30">
        <f>116</f>
        <v>116</v>
      </c>
      <c r="BH116" s="30">
        <f t="shared" si="19"/>
        <v>0</v>
      </c>
      <c r="BI116" s="30">
        <f t="shared" si="20"/>
        <v>0</v>
      </c>
      <c r="BJ116" s="30">
        <f t="shared" si="21"/>
        <v>0</v>
      </c>
      <c r="BK116" s="30"/>
      <c r="BL116" s="30">
        <v>18</v>
      </c>
      <c r="BW116" s="30">
        <v>21</v>
      </c>
      <c r="BX116" s="4" t="s">
        <v>310</v>
      </c>
    </row>
    <row r="117" spans="1:76" ht="14.4" x14ac:dyDescent="0.3">
      <c r="A117" s="2" t="s">
        <v>311</v>
      </c>
      <c r="B117" s="3" t="s">
        <v>312</v>
      </c>
      <c r="C117" s="70" t="s">
        <v>313</v>
      </c>
      <c r="D117" s="71"/>
      <c r="E117" s="3" t="s">
        <v>180</v>
      </c>
      <c r="F117" s="30">
        <v>327</v>
      </c>
      <c r="G117" s="31">
        <v>0</v>
      </c>
      <c r="H117" s="30">
        <f t="shared" si="0"/>
        <v>0</v>
      </c>
      <c r="I117" s="30">
        <f t="shared" si="1"/>
        <v>0</v>
      </c>
      <c r="J117" s="30">
        <f t="shared" si="2"/>
        <v>0</v>
      </c>
      <c r="K117" s="32" t="s">
        <v>292</v>
      </c>
      <c r="Z117" s="30">
        <f t="shared" si="3"/>
        <v>0</v>
      </c>
      <c r="AB117" s="30">
        <f t="shared" si="4"/>
        <v>0</v>
      </c>
      <c r="AC117" s="30">
        <f t="shared" si="5"/>
        <v>0</v>
      </c>
      <c r="AD117" s="30">
        <f t="shared" si="6"/>
        <v>0</v>
      </c>
      <c r="AE117" s="30">
        <f t="shared" si="7"/>
        <v>0</v>
      </c>
      <c r="AF117" s="30">
        <f t="shared" si="8"/>
        <v>0</v>
      </c>
      <c r="AG117" s="30">
        <f t="shared" si="9"/>
        <v>0</v>
      </c>
      <c r="AH117" s="30">
        <f t="shared" si="10"/>
        <v>0</v>
      </c>
      <c r="AI117" s="10" t="s">
        <v>262</v>
      </c>
      <c r="AJ117" s="30">
        <f t="shared" si="11"/>
        <v>0</v>
      </c>
      <c r="AK117" s="30">
        <f t="shared" si="12"/>
        <v>0</v>
      </c>
      <c r="AL117" s="30">
        <f t="shared" si="13"/>
        <v>0</v>
      </c>
      <c r="AN117" s="30">
        <v>21</v>
      </c>
      <c r="AO117" s="30">
        <f>G117*1</f>
        <v>0</v>
      </c>
      <c r="AP117" s="30">
        <f>G117*(1-1)</f>
        <v>0</v>
      </c>
      <c r="AQ117" s="33" t="s">
        <v>57</v>
      </c>
      <c r="AV117" s="30">
        <f t="shared" si="14"/>
        <v>0</v>
      </c>
      <c r="AW117" s="30">
        <f t="shared" si="15"/>
        <v>0</v>
      </c>
      <c r="AX117" s="30">
        <f t="shared" si="16"/>
        <v>0</v>
      </c>
      <c r="AY117" s="33" t="s">
        <v>97</v>
      </c>
      <c r="AZ117" s="33" t="s">
        <v>266</v>
      </c>
      <c r="BA117" s="10" t="s">
        <v>267</v>
      </c>
      <c r="BC117" s="30">
        <f t="shared" si="17"/>
        <v>0</v>
      </c>
      <c r="BD117" s="30">
        <f t="shared" si="18"/>
        <v>0</v>
      </c>
      <c r="BE117" s="30">
        <v>0</v>
      </c>
      <c r="BF117" s="30">
        <f>117</f>
        <v>117</v>
      </c>
      <c r="BH117" s="30">
        <f t="shared" si="19"/>
        <v>0</v>
      </c>
      <c r="BI117" s="30">
        <f t="shared" si="20"/>
        <v>0</v>
      </c>
      <c r="BJ117" s="30">
        <f t="shared" si="21"/>
        <v>0</v>
      </c>
      <c r="BK117" s="30"/>
      <c r="BL117" s="30">
        <v>18</v>
      </c>
      <c r="BW117" s="30">
        <v>21</v>
      </c>
      <c r="BX117" s="4" t="s">
        <v>313</v>
      </c>
    </row>
    <row r="118" spans="1:76" ht="14.4" x14ac:dyDescent="0.3">
      <c r="A118" s="2" t="s">
        <v>314</v>
      </c>
      <c r="B118" s="3" t="s">
        <v>315</v>
      </c>
      <c r="C118" s="70" t="s">
        <v>316</v>
      </c>
      <c r="D118" s="71"/>
      <c r="E118" s="3" t="s">
        <v>72</v>
      </c>
      <c r="F118" s="30">
        <v>52</v>
      </c>
      <c r="G118" s="31">
        <v>0</v>
      </c>
      <c r="H118" s="30">
        <f t="shared" si="0"/>
        <v>0</v>
      </c>
      <c r="I118" s="30">
        <f t="shared" si="1"/>
        <v>0</v>
      </c>
      <c r="J118" s="30">
        <f t="shared" si="2"/>
        <v>0</v>
      </c>
      <c r="K118" s="32" t="s">
        <v>73</v>
      </c>
      <c r="Z118" s="30">
        <f t="shared" si="3"/>
        <v>0</v>
      </c>
      <c r="AB118" s="30">
        <f t="shared" si="4"/>
        <v>0</v>
      </c>
      <c r="AC118" s="30">
        <f t="shared" si="5"/>
        <v>0</v>
      </c>
      <c r="AD118" s="30">
        <f t="shared" si="6"/>
        <v>0</v>
      </c>
      <c r="AE118" s="30">
        <f t="shared" si="7"/>
        <v>0</v>
      </c>
      <c r="AF118" s="30">
        <f t="shared" si="8"/>
        <v>0</v>
      </c>
      <c r="AG118" s="30">
        <f t="shared" si="9"/>
        <v>0</v>
      </c>
      <c r="AH118" s="30">
        <f t="shared" si="10"/>
        <v>0</v>
      </c>
      <c r="AI118" s="10" t="s">
        <v>262</v>
      </c>
      <c r="AJ118" s="30">
        <f t="shared" si="11"/>
        <v>0</v>
      </c>
      <c r="AK118" s="30">
        <f t="shared" si="12"/>
        <v>0</v>
      </c>
      <c r="AL118" s="30">
        <f t="shared" si="13"/>
        <v>0</v>
      </c>
      <c r="AN118" s="30">
        <v>21</v>
      </c>
      <c r="AO118" s="30">
        <f>G118*0</f>
        <v>0</v>
      </c>
      <c r="AP118" s="30">
        <f>G118*(1-0)</f>
        <v>0</v>
      </c>
      <c r="AQ118" s="33" t="s">
        <v>57</v>
      </c>
      <c r="AV118" s="30">
        <f t="shared" si="14"/>
        <v>0</v>
      </c>
      <c r="AW118" s="30">
        <f t="shared" si="15"/>
        <v>0</v>
      </c>
      <c r="AX118" s="30">
        <f t="shared" si="16"/>
        <v>0</v>
      </c>
      <c r="AY118" s="33" t="s">
        <v>97</v>
      </c>
      <c r="AZ118" s="33" t="s">
        <v>266</v>
      </c>
      <c r="BA118" s="10" t="s">
        <v>267</v>
      </c>
      <c r="BC118" s="30">
        <f t="shared" si="17"/>
        <v>0</v>
      </c>
      <c r="BD118" s="30">
        <f t="shared" si="18"/>
        <v>0</v>
      </c>
      <c r="BE118" s="30">
        <v>0</v>
      </c>
      <c r="BF118" s="30">
        <f>118</f>
        <v>118</v>
      </c>
      <c r="BH118" s="30">
        <f t="shared" si="19"/>
        <v>0</v>
      </c>
      <c r="BI118" s="30">
        <f t="shared" si="20"/>
        <v>0</v>
      </c>
      <c r="BJ118" s="30">
        <f t="shared" si="21"/>
        <v>0</v>
      </c>
      <c r="BK118" s="30"/>
      <c r="BL118" s="30">
        <v>18</v>
      </c>
      <c r="BW118" s="30">
        <v>21</v>
      </c>
      <c r="BX118" s="4" t="s">
        <v>316</v>
      </c>
    </row>
    <row r="119" spans="1:76" ht="14.4" x14ac:dyDescent="0.3">
      <c r="A119" s="2" t="s">
        <v>317</v>
      </c>
      <c r="B119" s="3" t="s">
        <v>318</v>
      </c>
      <c r="C119" s="70" t="s">
        <v>319</v>
      </c>
      <c r="D119" s="71"/>
      <c r="E119" s="3" t="s">
        <v>72</v>
      </c>
      <c r="F119" s="30">
        <v>106</v>
      </c>
      <c r="G119" s="31">
        <v>0</v>
      </c>
      <c r="H119" s="30">
        <f t="shared" si="0"/>
        <v>0</v>
      </c>
      <c r="I119" s="30">
        <f t="shared" si="1"/>
        <v>0</v>
      </c>
      <c r="J119" s="30">
        <f t="shared" si="2"/>
        <v>0</v>
      </c>
      <c r="K119" s="32" t="s">
        <v>73</v>
      </c>
      <c r="Z119" s="30">
        <f t="shared" si="3"/>
        <v>0</v>
      </c>
      <c r="AB119" s="30">
        <f t="shared" si="4"/>
        <v>0</v>
      </c>
      <c r="AC119" s="30">
        <f t="shared" si="5"/>
        <v>0</v>
      </c>
      <c r="AD119" s="30">
        <f t="shared" si="6"/>
        <v>0</v>
      </c>
      <c r="AE119" s="30">
        <f t="shared" si="7"/>
        <v>0</v>
      </c>
      <c r="AF119" s="30">
        <f t="shared" si="8"/>
        <v>0</v>
      </c>
      <c r="AG119" s="30">
        <f t="shared" si="9"/>
        <v>0</v>
      </c>
      <c r="AH119" s="30">
        <f t="shared" si="10"/>
        <v>0</v>
      </c>
      <c r="AI119" s="10" t="s">
        <v>262</v>
      </c>
      <c r="AJ119" s="30">
        <f t="shared" si="11"/>
        <v>0</v>
      </c>
      <c r="AK119" s="30">
        <f t="shared" si="12"/>
        <v>0</v>
      </c>
      <c r="AL119" s="30">
        <f t="shared" si="13"/>
        <v>0</v>
      </c>
      <c r="AN119" s="30">
        <v>21</v>
      </c>
      <c r="AO119" s="30">
        <f>G119*0</f>
        <v>0</v>
      </c>
      <c r="AP119" s="30">
        <f>G119*(1-0)</f>
        <v>0</v>
      </c>
      <c r="AQ119" s="33" t="s">
        <v>57</v>
      </c>
      <c r="AV119" s="30">
        <f t="shared" si="14"/>
        <v>0</v>
      </c>
      <c r="AW119" s="30">
        <f t="shared" si="15"/>
        <v>0</v>
      </c>
      <c r="AX119" s="30">
        <f t="shared" si="16"/>
        <v>0</v>
      </c>
      <c r="AY119" s="33" t="s">
        <v>97</v>
      </c>
      <c r="AZ119" s="33" t="s">
        <v>266</v>
      </c>
      <c r="BA119" s="10" t="s">
        <v>267</v>
      </c>
      <c r="BC119" s="30">
        <f t="shared" si="17"/>
        <v>0</v>
      </c>
      <c r="BD119" s="30">
        <f t="shared" si="18"/>
        <v>0</v>
      </c>
      <c r="BE119" s="30">
        <v>0</v>
      </c>
      <c r="BF119" s="30">
        <f>119</f>
        <v>119</v>
      </c>
      <c r="BH119" s="30">
        <f t="shared" si="19"/>
        <v>0</v>
      </c>
      <c r="BI119" s="30">
        <f t="shared" si="20"/>
        <v>0</v>
      </c>
      <c r="BJ119" s="30">
        <f t="shared" si="21"/>
        <v>0</v>
      </c>
      <c r="BK119" s="30"/>
      <c r="BL119" s="30">
        <v>18</v>
      </c>
      <c r="BW119" s="30">
        <v>21</v>
      </c>
      <c r="BX119" s="4" t="s">
        <v>319</v>
      </c>
    </row>
    <row r="120" spans="1:76" ht="14.4" x14ac:dyDescent="0.3">
      <c r="A120" s="34"/>
      <c r="C120" s="37" t="s">
        <v>320</v>
      </c>
      <c r="D120" s="37" t="s">
        <v>321</v>
      </c>
      <c r="F120" s="38">
        <v>105</v>
      </c>
      <c r="K120" s="39"/>
    </row>
    <row r="121" spans="1:76" ht="14.4" x14ac:dyDescent="0.3">
      <c r="A121" s="34"/>
      <c r="C121" s="37" t="s">
        <v>57</v>
      </c>
      <c r="D121" s="37" t="s">
        <v>322</v>
      </c>
      <c r="F121" s="38">
        <v>1</v>
      </c>
      <c r="K121" s="39"/>
    </row>
    <row r="122" spans="1:76" ht="14.4" x14ac:dyDescent="0.3">
      <c r="A122" s="2" t="s">
        <v>323</v>
      </c>
      <c r="B122" s="3" t="s">
        <v>324</v>
      </c>
      <c r="C122" s="70" t="s">
        <v>325</v>
      </c>
      <c r="D122" s="71"/>
      <c r="E122" s="3" t="s">
        <v>84</v>
      </c>
      <c r="F122" s="30">
        <v>16.22</v>
      </c>
      <c r="G122" s="31">
        <v>0</v>
      </c>
      <c r="H122" s="30">
        <f>ROUND(F122*AO122,2)</f>
        <v>0</v>
      </c>
      <c r="I122" s="30">
        <f>ROUND(F122*AP122,2)</f>
        <v>0</v>
      </c>
      <c r="J122" s="30">
        <f>ROUND(F122*G122,2)</f>
        <v>0</v>
      </c>
      <c r="K122" s="32" t="s">
        <v>292</v>
      </c>
      <c r="Z122" s="30">
        <f>ROUND(IF(AQ122="5",BJ122,0),2)</f>
        <v>0</v>
      </c>
      <c r="AB122" s="30">
        <f>ROUND(IF(AQ122="1",BH122,0),2)</f>
        <v>0</v>
      </c>
      <c r="AC122" s="30">
        <f>ROUND(IF(AQ122="1",BI122,0),2)</f>
        <v>0</v>
      </c>
      <c r="AD122" s="30">
        <f>ROUND(IF(AQ122="7",BH122,0),2)</f>
        <v>0</v>
      </c>
      <c r="AE122" s="30">
        <f>ROUND(IF(AQ122="7",BI122,0),2)</f>
        <v>0</v>
      </c>
      <c r="AF122" s="30">
        <f>ROUND(IF(AQ122="2",BH122,0),2)</f>
        <v>0</v>
      </c>
      <c r="AG122" s="30">
        <f>ROUND(IF(AQ122="2",BI122,0),2)</f>
        <v>0</v>
      </c>
      <c r="AH122" s="30">
        <f>ROUND(IF(AQ122="0",BJ122,0),2)</f>
        <v>0</v>
      </c>
      <c r="AI122" s="10" t="s">
        <v>262</v>
      </c>
      <c r="AJ122" s="30">
        <f>IF(AN122=0,J122,0)</f>
        <v>0</v>
      </c>
      <c r="AK122" s="30">
        <f>IF(AN122=12,J122,0)</f>
        <v>0</v>
      </c>
      <c r="AL122" s="30">
        <f>IF(AN122=21,J122,0)</f>
        <v>0</v>
      </c>
      <c r="AN122" s="30">
        <v>21</v>
      </c>
      <c r="AO122" s="30">
        <f>G122*1</f>
        <v>0</v>
      </c>
      <c r="AP122" s="30">
        <f>G122*(1-1)</f>
        <v>0</v>
      </c>
      <c r="AQ122" s="33" t="s">
        <v>57</v>
      </c>
      <c r="AV122" s="30">
        <f>ROUND(AW122+AX122,2)</f>
        <v>0</v>
      </c>
      <c r="AW122" s="30">
        <f>ROUND(F122*AO122,2)</f>
        <v>0</v>
      </c>
      <c r="AX122" s="30">
        <f>ROUND(F122*AP122,2)</f>
        <v>0</v>
      </c>
      <c r="AY122" s="33" t="s">
        <v>97</v>
      </c>
      <c r="AZ122" s="33" t="s">
        <v>266</v>
      </c>
      <c r="BA122" s="10" t="s">
        <v>267</v>
      </c>
      <c r="BC122" s="30">
        <f>AW122+AX122</f>
        <v>0</v>
      </c>
      <c r="BD122" s="30">
        <f>G122/(100-BE122)*100</f>
        <v>0</v>
      </c>
      <c r="BE122" s="30">
        <v>0</v>
      </c>
      <c r="BF122" s="30">
        <f>122</f>
        <v>122</v>
      </c>
      <c r="BH122" s="30">
        <f>F122*AO122</f>
        <v>0</v>
      </c>
      <c r="BI122" s="30">
        <f>F122*AP122</f>
        <v>0</v>
      </c>
      <c r="BJ122" s="30">
        <f>F122*G122</f>
        <v>0</v>
      </c>
      <c r="BK122" s="30"/>
      <c r="BL122" s="30">
        <v>18</v>
      </c>
      <c r="BW122" s="30">
        <v>21</v>
      </c>
      <c r="BX122" s="4" t="s">
        <v>325</v>
      </c>
    </row>
    <row r="123" spans="1:76" ht="14.4" x14ac:dyDescent="0.3">
      <c r="A123" s="34"/>
      <c r="C123" s="37" t="s">
        <v>326</v>
      </c>
      <c r="D123" s="37" t="s">
        <v>52</v>
      </c>
      <c r="F123" s="38">
        <v>15.9</v>
      </c>
      <c r="K123" s="39"/>
    </row>
    <row r="124" spans="1:76" ht="14.4" x14ac:dyDescent="0.3">
      <c r="A124" s="34"/>
      <c r="C124" s="37" t="s">
        <v>327</v>
      </c>
      <c r="D124" s="37" t="s">
        <v>52</v>
      </c>
      <c r="F124" s="38">
        <v>0.32</v>
      </c>
      <c r="K124" s="39"/>
    </row>
    <row r="125" spans="1:76" ht="14.4" x14ac:dyDescent="0.3">
      <c r="A125" s="2" t="s">
        <v>328</v>
      </c>
      <c r="B125" s="3" t="s">
        <v>329</v>
      </c>
      <c r="C125" s="70" t="s">
        <v>330</v>
      </c>
      <c r="D125" s="71"/>
      <c r="E125" s="3" t="s">
        <v>180</v>
      </c>
      <c r="F125" s="30">
        <v>18</v>
      </c>
      <c r="G125" s="31">
        <v>0</v>
      </c>
      <c r="H125" s="30">
        <f>ROUND(F125*AO125,2)</f>
        <v>0</v>
      </c>
      <c r="I125" s="30">
        <f>ROUND(F125*AP125,2)</f>
        <v>0</v>
      </c>
      <c r="J125" s="30">
        <f>ROUND(F125*G125,2)</f>
        <v>0</v>
      </c>
      <c r="K125" s="32" t="s">
        <v>73</v>
      </c>
      <c r="Z125" s="30">
        <f>ROUND(IF(AQ125="5",BJ125,0),2)</f>
        <v>0</v>
      </c>
      <c r="AB125" s="30">
        <f>ROUND(IF(AQ125="1",BH125,0),2)</f>
        <v>0</v>
      </c>
      <c r="AC125" s="30">
        <f>ROUND(IF(AQ125="1",BI125,0),2)</f>
        <v>0</v>
      </c>
      <c r="AD125" s="30">
        <f>ROUND(IF(AQ125="7",BH125,0),2)</f>
        <v>0</v>
      </c>
      <c r="AE125" s="30">
        <f>ROUND(IF(AQ125="7",BI125,0),2)</f>
        <v>0</v>
      </c>
      <c r="AF125" s="30">
        <f>ROUND(IF(AQ125="2",BH125,0),2)</f>
        <v>0</v>
      </c>
      <c r="AG125" s="30">
        <f>ROUND(IF(AQ125="2",BI125,0),2)</f>
        <v>0</v>
      </c>
      <c r="AH125" s="30">
        <f>ROUND(IF(AQ125="0",BJ125,0),2)</f>
        <v>0</v>
      </c>
      <c r="AI125" s="10" t="s">
        <v>262</v>
      </c>
      <c r="AJ125" s="30">
        <f>IF(AN125=0,J125,0)</f>
        <v>0</v>
      </c>
      <c r="AK125" s="30">
        <f>IF(AN125=12,J125,0)</f>
        <v>0</v>
      </c>
      <c r="AL125" s="30">
        <f>IF(AN125=21,J125,0)</f>
        <v>0</v>
      </c>
      <c r="AN125" s="30">
        <v>21</v>
      </c>
      <c r="AO125" s="30">
        <f>G125*0.076388889</f>
        <v>0</v>
      </c>
      <c r="AP125" s="30">
        <f>G125*(1-0.076388889)</f>
        <v>0</v>
      </c>
      <c r="AQ125" s="33" t="s">
        <v>57</v>
      </c>
      <c r="AV125" s="30">
        <f>ROUND(AW125+AX125,2)</f>
        <v>0</v>
      </c>
      <c r="AW125" s="30">
        <f>ROUND(F125*AO125,2)</f>
        <v>0</v>
      </c>
      <c r="AX125" s="30">
        <f>ROUND(F125*AP125,2)</f>
        <v>0</v>
      </c>
      <c r="AY125" s="33" t="s">
        <v>97</v>
      </c>
      <c r="AZ125" s="33" t="s">
        <v>266</v>
      </c>
      <c r="BA125" s="10" t="s">
        <v>267</v>
      </c>
      <c r="BC125" s="30">
        <f>AW125+AX125</f>
        <v>0</v>
      </c>
      <c r="BD125" s="30">
        <f>G125/(100-BE125)*100</f>
        <v>0</v>
      </c>
      <c r="BE125" s="30">
        <v>0</v>
      </c>
      <c r="BF125" s="30">
        <f>125</f>
        <v>125</v>
      </c>
      <c r="BH125" s="30">
        <f>F125*AO125</f>
        <v>0</v>
      </c>
      <c r="BI125" s="30">
        <f>F125*AP125</f>
        <v>0</v>
      </c>
      <c r="BJ125" s="30">
        <f>F125*G125</f>
        <v>0</v>
      </c>
      <c r="BK125" s="30"/>
      <c r="BL125" s="30">
        <v>18</v>
      </c>
      <c r="BW125" s="30">
        <v>21</v>
      </c>
      <c r="BX125" s="4" t="s">
        <v>330</v>
      </c>
    </row>
    <row r="126" spans="1:76" ht="14.4" x14ac:dyDescent="0.3">
      <c r="A126" s="34"/>
      <c r="C126" s="37" t="s">
        <v>331</v>
      </c>
      <c r="D126" s="37" t="s">
        <v>52</v>
      </c>
      <c r="F126" s="38">
        <v>18</v>
      </c>
      <c r="K126" s="39"/>
    </row>
    <row r="127" spans="1:76" ht="14.4" x14ac:dyDescent="0.3">
      <c r="A127" s="2" t="s">
        <v>332</v>
      </c>
      <c r="B127" s="3" t="s">
        <v>333</v>
      </c>
      <c r="C127" s="70" t="s">
        <v>334</v>
      </c>
      <c r="D127" s="71"/>
      <c r="E127" s="3" t="s">
        <v>187</v>
      </c>
      <c r="F127" s="30">
        <v>6</v>
      </c>
      <c r="G127" s="31">
        <v>0</v>
      </c>
      <c r="H127" s="30">
        <f>ROUND(F127*AO127,2)</f>
        <v>0</v>
      </c>
      <c r="I127" s="30">
        <f>ROUND(F127*AP127,2)</f>
        <v>0</v>
      </c>
      <c r="J127" s="30">
        <f>ROUND(F127*G127,2)</f>
        <v>0</v>
      </c>
      <c r="K127" s="32" t="s">
        <v>335</v>
      </c>
      <c r="Z127" s="30">
        <f>ROUND(IF(AQ127="5",BJ127,0),2)</f>
        <v>0</v>
      </c>
      <c r="AB127" s="30">
        <f>ROUND(IF(AQ127="1",BH127,0),2)</f>
        <v>0</v>
      </c>
      <c r="AC127" s="30">
        <f>ROUND(IF(AQ127="1",BI127,0),2)</f>
        <v>0</v>
      </c>
      <c r="AD127" s="30">
        <f>ROUND(IF(AQ127="7",BH127,0),2)</f>
        <v>0</v>
      </c>
      <c r="AE127" s="30">
        <f>ROUND(IF(AQ127="7",BI127,0),2)</f>
        <v>0</v>
      </c>
      <c r="AF127" s="30">
        <f>ROUND(IF(AQ127="2",BH127,0),2)</f>
        <v>0</v>
      </c>
      <c r="AG127" s="30">
        <f>ROUND(IF(AQ127="2",BI127,0),2)</f>
        <v>0</v>
      </c>
      <c r="AH127" s="30">
        <f>ROUND(IF(AQ127="0",BJ127,0),2)</f>
        <v>0</v>
      </c>
      <c r="AI127" s="10" t="s">
        <v>262</v>
      </c>
      <c r="AJ127" s="30">
        <f>IF(AN127=0,J127,0)</f>
        <v>0</v>
      </c>
      <c r="AK127" s="30">
        <f>IF(AN127=12,J127,0)</f>
        <v>0</v>
      </c>
      <c r="AL127" s="30">
        <f>IF(AN127=21,J127,0)</f>
        <v>0</v>
      </c>
      <c r="AN127" s="30">
        <v>21</v>
      </c>
      <c r="AO127" s="30">
        <f>G127*0</f>
        <v>0</v>
      </c>
      <c r="AP127" s="30">
        <f>G127*(1-0)</f>
        <v>0</v>
      </c>
      <c r="AQ127" s="33" t="s">
        <v>57</v>
      </c>
      <c r="AV127" s="30">
        <f>ROUND(AW127+AX127,2)</f>
        <v>0</v>
      </c>
      <c r="AW127" s="30">
        <f>ROUND(F127*AO127,2)</f>
        <v>0</v>
      </c>
      <c r="AX127" s="30">
        <f>ROUND(F127*AP127,2)</f>
        <v>0</v>
      </c>
      <c r="AY127" s="33" t="s">
        <v>97</v>
      </c>
      <c r="AZ127" s="33" t="s">
        <v>266</v>
      </c>
      <c r="BA127" s="10" t="s">
        <v>267</v>
      </c>
      <c r="BC127" s="30">
        <f>AW127+AX127</f>
        <v>0</v>
      </c>
      <c r="BD127" s="30">
        <f>G127/(100-BE127)*100</f>
        <v>0</v>
      </c>
      <c r="BE127" s="30">
        <v>0</v>
      </c>
      <c r="BF127" s="30">
        <f>127</f>
        <v>127</v>
      </c>
      <c r="BH127" s="30">
        <f>F127*AO127</f>
        <v>0</v>
      </c>
      <c r="BI127" s="30">
        <f>F127*AP127</f>
        <v>0</v>
      </c>
      <c r="BJ127" s="30">
        <f>F127*G127</f>
        <v>0</v>
      </c>
      <c r="BK127" s="30"/>
      <c r="BL127" s="30">
        <v>18</v>
      </c>
      <c r="BW127" s="30">
        <v>21</v>
      </c>
      <c r="BX127" s="4" t="s">
        <v>334</v>
      </c>
    </row>
    <row r="128" spans="1:76" ht="14.4" x14ac:dyDescent="0.3">
      <c r="A128" s="2" t="s">
        <v>123</v>
      </c>
      <c r="B128" s="3" t="s">
        <v>336</v>
      </c>
      <c r="C128" s="70" t="s">
        <v>337</v>
      </c>
      <c r="D128" s="71"/>
      <c r="E128" s="3" t="s">
        <v>338</v>
      </c>
      <c r="F128" s="30">
        <v>3</v>
      </c>
      <c r="G128" s="31">
        <v>0</v>
      </c>
      <c r="H128" s="30">
        <f>ROUND(F128*AO128,2)</f>
        <v>0</v>
      </c>
      <c r="I128" s="30">
        <f>ROUND(F128*AP128,2)</f>
        <v>0</v>
      </c>
      <c r="J128" s="30">
        <f>ROUND(F128*G128,2)</f>
        <v>0</v>
      </c>
      <c r="K128" s="32" t="s">
        <v>292</v>
      </c>
      <c r="Z128" s="30">
        <f>ROUND(IF(AQ128="5",BJ128,0),2)</f>
        <v>0</v>
      </c>
      <c r="AB128" s="30">
        <f>ROUND(IF(AQ128="1",BH128,0),2)</f>
        <v>0</v>
      </c>
      <c r="AC128" s="30">
        <f>ROUND(IF(AQ128="1",BI128,0),2)</f>
        <v>0</v>
      </c>
      <c r="AD128" s="30">
        <f>ROUND(IF(AQ128="7",BH128,0),2)</f>
        <v>0</v>
      </c>
      <c r="AE128" s="30">
        <f>ROUND(IF(AQ128="7",BI128,0),2)</f>
        <v>0</v>
      </c>
      <c r="AF128" s="30">
        <f>ROUND(IF(AQ128="2",BH128,0),2)</f>
        <v>0</v>
      </c>
      <c r="AG128" s="30">
        <f>ROUND(IF(AQ128="2",BI128,0),2)</f>
        <v>0</v>
      </c>
      <c r="AH128" s="30">
        <f>ROUND(IF(AQ128="0",BJ128,0),2)</f>
        <v>0</v>
      </c>
      <c r="AI128" s="10" t="s">
        <v>262</v>
      </c>
      <c r="AJ128" s="30">
        <f>IF(AN128=0,J128,0)</f>
        <v>0</v>
      </c>
      <c r="AK128" s="30">
        <f>IF(AN128=12,J128,0)</f>
        <v>0</v>
      </c>
      <c r="AL128" s="30">
        <f>IF(AN128=21,J128,0)</f>
        <v>0</v>
      </c>
      <c r="AN128" s="30">
        <v>21</v>
      </c>
      <c r="AO128" s="30">
        <f>G128*1</f>
        <v>0</v>
      </c>
      <c r="AP128" s="30">
        <f>G128*(1-1)</f>
        <v>0</v>
      </c>
      <c r="AQ128" s="33" t="s">
        <v>57</v>
      </c>
      <c r="AV128" s="30">
        <f>ROUND(AW128+AX128,2)</f>
        <v>0</v>
      </c>
      <c r="AW128" s="30">
        <f>ROUND(F128*AO128,2)</f>
        <v>0</v>
      </c>
      <c r="AX128" s="30">
        <f>ROUND(F128*AP128,2)</f>
        <v>0</v>
      </c>
      <c r="AY128" s="33" t="s">
        <v>97</v>
      </c>
      <c r="AZ128" s="33" t="s">
        <v>266</v>
      </c>
      <c r="BA128" s="10" t="s">
        <v>267</v>
      </c>
      <c r="BC128" s="30">
        <f>AW128+AX128</f>
        <v>0</v>
      </c>
      <c r="BD128" s="30">
        <f>G128/(100-BE128)*100</f>
        <v>0</v>
      </c>
      <c r="BE128" s="30">
        <v>0</v>
      </c>
      <c r="BF128" s="30">
        <f>128</f>
        <v>128</v>
      </c>
      <c r="BH128" s="30">
        <f>F128*AO128</f>
        <v>0</v>
      </c>
      <c r="BI128" s="30">
        <f>F128*AP128</f>
        <v>0</v>
      </c>
      <c r="BJ128" s="30">
        <f>F128*G128</f>
        <v>0</v>
      </c>
      <c r="BK128" s="30"/>
      <c r="BL128" s="30">
        <v>18</v>
      </c>
      <c r="BW128" s="30">
        <v>21</v>
      </c>
      <c r="BX128" s="4" t="s">
        <v>337</v>
      </c>
    </row>
    <row r="129" spans="1:76" ht="14.4" x14ac:dyDescent="0.3">
      <c r="A129" s="2" t="s">
        <v>136</v>
      </c>
      <c r="B129" s="3" t="s">
        <v>339</v>
      </c>
      <c r="C129" s="70" t="s">
        <v>340</v>
      </c>
      <c r="D129" s="71"/>
      <c r="E129" s="3" t="s">
        <v>341</v>
      </c>
      <c r="F129" s="30">
        <v>0.36</v>
      </c>
      <c r="G129" s="31">
        <v>0</v>
      </c>
      <c r="H129" s="30">
        <f>ROUND(F129*AO129,2)</f>
        <v>0</v>
      </c>
      <c r="I129" s="30">
        <f>ROUND(F129*AP129,2)</f>
        <v>0</v>
      </c>
      <c r="J129" s="30">
        <f>ROUND(F129*G129,2)</f>
        <v>0</v>
      </c>
      <c r="K129" s="32" t="s">
        <v>292</v>
      </c>
      <c r="Z129" s="30">
        <f>ROUND(IF(AQ129="5",BJ129,0),2)</f>
        <v>0</v>
      </c>
      <c r="AB129" s="30">
        <f>ROUND(IF(AQ129="1",BH129,0),2)</f>
        <v>0</v>
      </c>
      <c r="AC129" s="30">
        <f>ROUND(IF(AQ129="1",BI129,0),2)</f>
        <v>0</v>
      </c>
      <c r="AD129" s="30">
        <f>ROUND(IF(AQ129="7",BH129,0),2)</f>
        <v>0</v>
      </c>
      <c r="AE129" s="30">
        <f>ROUND(IF(AQ129="7",BI129,0),2)</f>
        <v>0</v>
      </c>
      <c r="AF129" s="30">
        <f>ROUND(IF(AQ129="2",BH129,0),2)</f>
        <v>0</v>
      </c>
      <c r="AG129" s="30">
        <f>ROUND(IF(AQ129="2",BI129,0),2)</f>
        <v>0</v>
      </c>
      <c r="AH129" s="30">
        <f>ROUND(IF(AQ129="0",BJ129,0),2)</f>
        <v>0</v>
      </c>
      <c r="AI129" s="10" t="s">
        <v>262</v>
      </c>
      <c r="AJ129" s="30">
        <f>IF(AN129=0,J129,0)</f>
        <v>0</v>
      </c>
      <c r="AK129" s="30">
        <f>IF(AN129=12,J129,0)</f>
        <v>0</v>
      </c>
      <c r="AL129" s="30">
        <f>IF(AN129=21,J129,0)</f>
        <v>0</v>
      </c>
      <c r="AN129" s="30">
        <v>21</v>
      </c>
      <c r="AO129" s="30">
        <f>G129*1</f>
        <v>0</v>
      </c>
      <c r="AP129" s="30">
        <f>G129*(1-1)</f>
        <v>0</v>
      </c>
      <c r="AQ129" s="33" t="s">
        <v>57</v>
      </c>
      <c r="AV129" s="30">
        <f>ROUND(AW129+AX129,2)</f>
        <v>0</v>
      </c>
      <c r="AW129" s="30">
        <f>ROUND(F129*AO129,2)</f>
        <v>0</v>
      </c>
      <c r="AX129" s="30">
        <f>ROUND(F129*AP129,2)</f>
        <v>0</v>
      </c>
      <c r="AY129" s="33" t="s">
        <v>97</v>
      </c>
      <c r="AZ129" s="33" t="s">
        <v>266</v>
      </c>
      <c r="BA129" s="10" t="s">
        <v>267</v>
      </c>
      <c r="BC129" s="30">
        <f>AW129+AX129</f>
        <v>0</v>
      </c>
      <c r="BD129" s="30">
        <f>G129/(100-BE129)*100</f>
        <v>0</v>
      </c>
      <c r="BE129" s="30">
        <v>0</v>
      </c>
      <c r="BF129" s="30">
        <f>129</f>
        <v>129</v>
      </c>
      <c r="BH129" s="30">
        <f>F129*AO129</f>
        <v>0</v>
      </c>
      <c r="BI129" s="30">
        <f>F129*AP129</f>
        <v>0</v>
      </c>
      <c r="BJ129" s="30">
        <f>F129*G129</f>
        <v>0</v>
      </c>
      <c r="BK129" s="30"/>
      <c r="BL129" s="30">
        <v>18</v>
      </c>
      <c r="BW129" s="30">
        <v>21</v>
      </c>
      <c r="BX129" s="4" t="s">
        <v>340</v>
      </c>
    </row>
    <row r="130" spans="1:76" ht="14.4" x14ac:dyDescent="0.3">
      <c r="A130" s="34"/>
      <c r="C130" s="37" t="s">
        <v>342</v>
      </c>
      <c r="D130" s="37" t="s">
        <v>52</v>
      </c>
      <c r="F130" s="38">
        <v>0.36</v>
      </c>
      <c r="K130" s="39"/>
    </row>
    <row r="131" spans="1:76" ht="14.4" x14ac:dyDescent="0.3">
      <c r="A131" s="2" t="s">
        <v>343</v>
      </c>
      <c r="B131" s="3" t="s">
        <v>99</v>
      </c>
      <c r="C131" s="70" t="s">
        <v>100</v>
      </c>
      <c r="D131" s="71"/>
      <c r="E131" s="3" t="s">
        <v>72</v>
      </c>
      <c r="F131" s="30">
        <v>170</v>
      </c>
      <c r="G131" s="31">
        <v>0</v>
      </c>
      <c r="H131" s="30">
        <f>ROUND(F131*AO131,2)</f>
        <v>0</v>
      </c>
      <c r="I131" s="30">
        <f>ROUND(F131*AP131,2)</f>
        <v>0</v>
      </c>
      <c r="J131" s="30">
        <f>ROUND(F131*G131,2)</f>
        <v>0</v>
      </c>
      <c r="K131" s="32" t="s">
        <v>73</v>
      </c>
      <c r="Z131" s="30">
        <f>ROUND(IF(AQ131="5",BJ131,0),2)</f>
        <v>0</v>
      </c>
      <c r="AB131" s="30">
        <f>ROUND(IF(AQ131="1",BH131,0),2)</f>
        <v>0</v>
      </c>
      <c r="AC131" s="30">
        <f>ROUND(IF(AQ131="1",BI131,0),2)</f>
        <v>0</v>
      </c>
      <c r="AD131" s="30">
        <f>ROUND(IF(AQ131="7",BH131,0),2)</f>
        <v>0</v>
      </c>
      <c r="AE131" s="30">
        <f>ROUND(IF(AQ131="7",BI131,0),2)</f>
        <v>0</v>
      </c>
      <c r="AF131" s="30">
        <f>ROUND(IF(AQ131="2",BH131,0),2)</f>
        <v>0</v>
      </c>
      <c r="AG131" s="30">
        <f>ROUND(IF(AQ131="2",BI131,0),2)</f>
        <v>0</v>
      </c>
      <c r="AH131" s="30">
        <f>ROUND(IF(AQ131="0",BJ131,0),2)</f>
        <v>0</v>
      </c>
      <c r="AI131" s="10" t="s">
        <v>262</v>
      </c>
      <c r="AJ131" s="30">
        <f>IF(AN131=0,J131,0)</f>
        <v>0</v>
      </c>
      <c r="AK131" s="30">
        <f>IF(AN131=12,J131,0)</f>
        <v>0</v>
      </c>
      <c r="AL131" s="30">
        <f>IF(AN131=21,J131,0)</f>
        <v>0</v>
      </c>
      <c r="AN131" s="30">
        <v>21</v>
      </c>
      <c r="AO131" s="30">
        <f>G131*0</f>
        <v>0</v>
      </c>
      <c r="AP131" s="30">
        <f>G131*(1-0)</f>
        <v>0</v>
      </c>
      <c r="AQ131" s="33" t="s">
        <v>57</v>
      </c>
      <c r="AV131" s="30">
        <f>ROUND(AW131+AX131,2)</f>
        <v>0</v>
      </c>
      <c r="AW131" s="30">
        <f>ROUND(F131*AO131,2)</f>
        <v>0</v>
      </c>
      <c r="AX131" s="30">
        <f>ROUND(F131*AP131,2)</f>
        <v>0</v>
      </c>
      <c r="AY131" s="33" t="s">
        <v>97</v>
      </c>
      <c r="AZ131" s="33" t="s">
        <v>266</v>
      </c>
      <c r="BA131" s="10" t="s">
        <v>267</v>
      </c>
      <c r="BC131" s="30">
        <f>AW131+AX131</f>
        <v>0</v>
      </c>
      <c r="BD131" s="30">
        <f>G131/(100-BE131)*100</f>
        <v>0</v>
      </c>
      <c r="BE131" s="30">
        <v>0</v>
      </c>
      <c r="BF131" s="30">
        <f>131</f>
        <v>131</v>
      </c>
      <c r="BH131" s="30">
        <f>F131*AO131</f>
        <v>0</v>
      </c>
      <c r="BI131" s="30">
        <f>F131*AP131</f>
        <v>0</v>
      </c>
      <c r="BJ131" s="30">
        <f>F131*G131</f>
        <v>0</v>
      </c>
      <c r="BK131" s="30"/>
      <c r="BL131" s="30">
        <v>18</v>
      </c>
      <c r="BW131" s="30">
        <v>21</v>
      </c>
      <c r="BX131" s="4" t="s">
        <v>100</v>
      </c>
    </row>
    <row r="132" spans="1:76" ht="13.5" customHeight="1" x14ac:dyDescent="0.3">
      <c r="A132" s="34"/>
      <c r="B132" s="35" t="s">
        <v>65</v>
      </c>
      <c r="C132" s="76" t="s">
        <v>344</v>
      </c>
      <c r="D132" s="77"/>
      <c r="E132" s="77"/>
      <c r="F132" s="77"/>
      <c r="G132" s="78"/>
      <c r="H132" s="77"/>
      <c r="I132" s="77"/>
      <c r="J132" s="77"/>
      <c r="K132" s="79"/>
    </row>
    <row r="133" spans="1:76" ht="14.4" x14ac:dyDescent="0.3">
      <c r="A133" s="2" t="s">
        <v>281</v>
      </c>
      <c r="B133" s="3" t="s">
        <v>345</v>
      </c>
      <c r="C133" s="70" t="s">
        <v>346</v>
      </c>
      <c r="D133" s="71"/>
      <c r="E133" s="3" t="s">
        <v>84</v>
      </c>
      <c r="F133" s="30">
        <v>14.28</v>
      </c>
      <c r="G133" s="31">
        <v>0</v>
      </c>
      <c r="H133" s="30">
        <f>ROUND(F133*AO133,2)</f>
        <v>0</v>
      </c>
      <c r="I133" s="30">
        <f>ROUND(F133*AP133,2)</f>
        <v>0</v>
      </c>
      <c r="J133" s="30">
        <f>ROUND(F133*G133,2)</f>
        <v>0</v>
      </c>
      <c r="K133" s="32" t="s">
        <v>292</v>
      </c>
      <c r="Z133" s="30">
        <f>ROUND(IF(AQ133="5",BJ133,0),2)</f>
        <v>0</v>
      </c>
      <c r="AB133" s="30">
        <f>ROUND(IF(AQ133="1",BH133,0),2)</f>
        <v>0</v>
      </c>
      <c r="AC133" s="30">
        <f>ROUND(IF(AQ133="1",BI133,0),2)</f>
        <v>0</v>
      </c>
      <c r="AD133" s="30">
        <f>ROUND(IF(AQ133="7",BH133,0),2)</f>
        <v>0</v>
      </c>
      <c r="AE133" s="30">
        <f>ROUND(IF(AQ133="7",BI133,0),2)</f>
        <v>0</v>
      </c>
      <c r="AF133" s="30">
        <f>ROUND(IF(AQ133="2",BH133,0),2)</f>
        <v>0</v>
      </c>
      <c r="AG133" s="30">
        <f>ROUND(IF(AQ133="2",BI133,0),2)</f>
        <v>0</v>
      </c>
      <c r="AH133" s="30">
        <f>ROUND(IF(AQ133="0",BJ133,0),2)</f>
        <v>0</v>
      </c>
      <c r="AI133" s="10" t="s">
        <v>262</v>
      </c>
      <c r="AJ133" s="30">
        <f>IF(AN133=0,J133,0)</f>
        <v>0</v>
      </c>
      <c r="AK133" s="30">
        <f>IF(AN133=12,J133,0)</f>
        <v>0</v>
      </c>
      <c r="AL133" s="30">
        <f>IF(AN133=21,J133,0)</f>
        <v>0</v>
      </c>
      <c r="AN133" s="30">
        <v>21</v>
      </c>
      <c r="AO133" s="30">
        <f>G133*1</f>
        <v>0</v>
      </c>
      <c r="AP133" s="30">
        <f>G133*(1-1)</f>
        <v>0</v>
      </c>
      <c r="AQ133" s="33" t="s">
        <v>57</v>
      </c>
      <c r="AV133" s="30">
        <f>ROUND(AW133+AX133,2)</f>
        <v>0</v>
      </c>
      <c r="AW133" s="30">
        <f>ROUND(F133*AO133,2)</f>
        <v>0</v>
      </c>
      <c r="AX133" s="30">
        <f>ROUND(F133*AP133,2)</f>
        <v>0</v>
      </c>
      <c r="AY133" s="33" t="s">
        <v>97</v>
      </c>
      <c r="AZ133" s="33" t="s">
        <v>266</v>
      </c>
      <c r="BA133" s="10" t="s">
        <v>267</v>
      </c>
      <c r="BC133" s="30">
        <f>AW133+AX133</f>
        <v>0</v>
      </c>
      <c r="BD133" s="30">
        <f>G133/(100-BE133)*100</f>
        <v>0</v>
      </c>
      <c r="BE133" s="30">
        <v>0</v>
      </c>
      <c r="BF133" s="30">
        <f>133</f>
        <v>133</v>
      </c>
      <c r="BH133" s="30">
        <f>F133*AO133</f>
        <v>0</v>
      </c>
      <c r="BI133" s="30">
        <f>F133*AP133</f>
        <v>0</v>
      </c>
      <c r="BJ133" s="30">
        <f>F133*G133</f>
        <v>0</v>
      </c>
      <c r="BK133" s="30"/>
      <c r="BL133" s="30">
        <v>18</v>
      </c>
      <c r="BW133" s="30">
        <v>21</v>
      </c>
      <c r="BX133" s="4" t="s">
        <v>346</v>
      </c>
    </row>
    <row r="134" spans="1:76" ht="14.4" x14ac:dyDescent="0.3">
      <c r="A134" s="34"/>
      <c r="C134" s="37" t="s">
        <v>347</v>
      </c>
      <c r="D134" s="37" t="s">
        <v>52</v>
      </c>
      <c r="F134" s="38">
        <v>13.6</v>
      </c>
      <c r="K134" s="39"/>
    </row>
    <row r="135" spans="1:76" ht="14.4" x14ac:dyDescent="0.3">
      <c r="A135" s="34"/>
      <c r="C135" s="37" t="s">
        <v>348</v>
      </c>
      <c r="D135" s="37" t="s">
        <v>52</v>
      </c>
      <c r="F135" s="38">
        <v>0.68</v>
      </c>
      <c r="K135" s="39"/>
    </row>
    <row r="136" spans="1:76" ht="14.4" x14ac:dyDescent="0.3">
      <c r="A136" s="2" t="s">
        <v>349</v>
      </c>
      <c r="B136" s="3" t="s">
        <v>350</v>
      </c>
      <c r="C136" s="70" t="s">
        <v>351</v>
      </c>
      <c r="D136" s="71"/>
      <c r="E136" s="3" t="s">
        <v>163</v>
      </c>
      <c r="F136" s="30">
        <v>0.15</v>
      </c>
      <c r="G136" s="31">
        <v>0</v>
      </c>
      <c r="H136" s="30">
        <f>ROUND(F136*AO136,2)</f>
        <v>0</v>
      </c>
      <c r="I136" s="30">
        <f>ROUND(F136*AP136,2)</f>
        <v>0</v>
      </c>
      <c r="J136" s="30">
        <f>ROUND(F136*G136,2)</f>
        <v>0</v>
      </c>
      <c r="K136" s="32" t="s">
        <v>73</v>
      </c>
      <c r="Z136" s="30">
        <f>ROUND(IF(AQ136="5",BJ136,0),2)</f>
        <v>0</v>
      </c>
      <c r="AB136" s="30">
        <f>ROUND(IF(AQ136="1",BH136,0),2)</f>
        <v>0</v>
      </c>
      <c r="AC136" s="30">
        <f>ROUND(IF(AQ136="1",BI136,0),2)</f>
        <v>0</v>
      </c>
      <c r="AD136" s="30">
        <f>ROUND(IF(AQ136="7",BH136,0),2)</f>
        <v>0</v>
      </c>
      <c r="AE136" s="30">
        <f>ROUND(IF(AQ136="7",BI136,0),2)</f>
        <v>0</v>
      </c>
      <c r="AF136" s="30">
        <f>ROUND(IF(AQ136="2",BH136,0),2)</f>
        <v>0</v>
      </c>
      <c r="AG136" s="30">
        <f>ROUND(IF(AQ136="2",BI136,0),2)</f>
        <v>0</v>
      </c>
      <c r="AH136" s="30">
        <f>ROUND(IF(AQ136="0",BJ136,0),2)</f>
        <v>0</v>
      </c>
      <c r="AI136" s="10" t="s">
        <v>262</v>
      </c>
      <c r="AJ136" s="30">
        <f>IF(AN136=0,J136,0)</f>
        <v>0</v>
      </c>
      <c r="AK136" s="30">
        <f>IF(AN136=12,J136,0)</f>
        <v>0</v>
      </c>
      <c r="AL136" s="30">
        <f>IF(AN136=21,J136,0)</f>
        <v>0</v>
      </c>
      <c r="AN136" s="30">
        <v>21</v>
      </c>
      <c r="AO136" s="30">
        <f>G136*0</f>
        <v>0</v>
      </c>
      <c r="AP136" s="30">
        <f>G136*(1-0)</f>
        <v>0</v>
      </c>
      <c r="AQ136" s="33" t="s">
        <v>57</v>
      </c>
      <c r="AV136" s="30">
        <f>ROUND(AW136+AX136,2)</f>
        <v>0</v>
      </c>
      <c r="AW136" s="30">
        <f>ROUND(F136*AO136,2)</f>
        <v>0</v>
      </c>
      <c r="AX136" s="30">
        <f>ROUND(F136*AP136,2)</f>
        <v>0</v>
      </c>
      <c r="AY136" s="33" t="s">
        <v>97</v>
      </c>
      <c r="AZ136" s="33" t="s">
        <v>266</v>
      </c>
      <c r="BA136" s="10" t="s">
        <v>267</v>
      </c>
      <c r="BC136" s="30">
        <f>AW136+AX136</f>
        <v>0</v>
      </c>
      <c r="BD136" s="30">
        <f>G136/(100-BE136)*100</f>
        <v>0</v>
      </c>
      <c r="BE136" s="30">
        <v>0</v>
      </c>
      <c r="BF136" s="30">
        <f>136</f>
        <v>136</v>
      </c>
      <c r="BH136" s="30">
        <f>F136*AO136</f>
        <v>0</v>
      </c>
      <c r="BI136" s="30">
        <f>F136*AP136</f>
        <v>0</v>
      </c>
      <c r="BJ136" s="30">
        <f>F136*G136</f>
        <v>0</v>
      </c>
      <c r="BK136" s="30"/>
      <c r="BL136" s="30">
        <v>18</v>
      </c>
      <c r="BW136" s="30">
        <v>21</v>
      </c>
      <c r="BX136" s="4" t="s">
        <v>351</v>
      </c>
    </row>
    <row r="137" spans="1:76" ht="14.4" x14ac:dyDescent="0.3">
      <c r="A137" s="34"/>
      <c r="C137" s="37" t="s">
        <v>352</v>
      </c>
      <c r="D137" s="37" t="s">
        <v>353</v>
      </c>
      <c r="F137" s="38">
        <v>0.01</v>
      </c>
      <c r="K137" s="39"/>
    </row>
    <row r="138" spans="1:76" ht="14.4" x14ac:dyDescent="0.3">
      <c r="A138" s="34"/>
      <c r="C138" s="37" t="s">
        <v>354</v>
      </c>
      <c r="D138" s="37" t="s">
        <v>355</v>
      </c>
      <c r="F138" s="38">
        <v>0.12</v>
      </c>
      <c r="K138" s="39"/>
    </row>
    <row r="139" spans="1:76" ht="14.4" x14ac:dyDescent="0.3">
      <c r="A139" s="34"/>
      <c r="C139" s="37" t="s">
        <v>356</v>
      </c>
      <c r="D139" s="37" t="s">
        <v>357</v>
      </c>
      <c r="F139" s="38">
        <v>0.02</v>
      </c>
      <c r="K139" s="39"/>
    </row>
    <row r="140" spans="1:76" ht="14.4" x14ac:dyDescent="0.3">
      <c r="A140" s="2" t="s">
        <v>358</v>
      </c>
      <c r="B140" s="3" t="s">
        <v>359</v>
      </c>
      <c r="C140" s="70" t="s">
        <v>360</v>
      </c>
      <c r="D140" s="71"/>
      <c r="E140" s="3" t="s">
        <v>84</v>
      </c>
      <c r="F140" s="30">
        <v>17.89</v>
      </c>
      <c r="G140" s="31">
        <v>0</v>
      </c>
      <c r="H140" s="30">
        <f>ROUND(F140*AO140,2)</f>
        <v>0</v>
      </c>
      <c r="I140" s="30">
        <f>ROUND(F140*AP140,2)</f>
        <v>0</v>
      </c>
      <c r="J140" s="30">
        <f>ROUND(F140*G140,2)</f>
        <v>0</v>
      </c>
      <c r="K140" s="32" t="s">
        <v>73</v>
      </c>
      <c r="Z140" s="30">
        <f>ROUND(IF(AQ140="5",BJ140,0),2)</f>
        <v>0</v>
      </c>
      <c r="AB140" s="30">
        <f>ROUND(IF(AQ140="1",BH140,0),2)</f>
        <v>0</v>
      </c>
      <c r="AC140" s="30">
        <f>ROUND(IF(AQ140="1",BI140,0),2)</f>
        <v>0</v>
      </c>
      <c r="AD140" s="30">
        <f>ROUND(IF(AQ140="7",BH140,0),2)</f>
        <v>0</v>
      </c>
      <c r="AE140" s="30">
        <f>ROUND(IF(AQ140="7",BI140,0),2)</f>
        <v>0</v>
      </c>
      <c r="AF140" s="30">
        <f>ROUND(IF(AQ140="2",BH140,0),2)</f>
        <v>0</v>
      </c>
      <c r="AG140" s="30">
        <f>ROUND(IF(AQ140="2",BI140,0),2)</f>
        <v>0</v>
      </c>
      <c r="AH140" s="30">
        <f>ROUND(IF(AQ140="0",BJ140,0),2)</f>
        <v>0</v>
      </c>
      <c r="AI140" s="10" t="s">
        <v>262</v>
      </c>
      <c r="AJ140" s="30">
        <f>IF(AN140=0,J140,0)</f>
        <v>0</v>
      </c>
      <c r="AK140" s="30">
        <f>IF(AN140=12,J140,0)</f>
        <v>0</v>
      </c>
      <c r="AL140" s="30">
        <f>IF(AN140=21,J140,0)</f>
        <v>0</v>
      </c>
      <c r="AN140" s="30">
        <v>21</v>
      </c>
      <c r="AO140" s="30">
        <f>G140*0.07963834</f>
        <v>0</v>
      </c>
      <c r="AP140" s="30">
        <f>G140*(1-0.07963834)</f>
        <v>0</v>
      </c>
      <c r="AQ140" s="33" t="s">
        <v>57</v>
      </c>
      <c r="AV140" s="30">
        <f>ROUND(AW140+AX140,2)</f>
        <v>0</v>
      </c>
      <c r="AW140" s="30">
        <f>ROUND(F140*AO140,2)</f>
        <v>0</v>
      </c>
      <c r="AX140" s="30">
        <f>ROUND(F140*AP140,2)</f>
        <v>0</v>
      </c>
      <c r="AY140" s="33" t="s">
        <v>97</v>
      </c>
      <c r="AZ140" s="33" t="s">
        <v>266</v>
      </c>
      <c r="BA140" s="10" t="s">
        <v>267</v>
      </c>
      <c r="BC140" s="30">
        <f>AW140+AX140</f>
        <v>0</v>
      </c>
      <c r="BD140" s="30">
        <f>G140/(100-BE140)*100</f>
        <v>0</v>
      </c>
      <c r="BE140" s="30">
        <v>0</v>
      </c>
      <c r="BF140" s="30">
        <f>140</f>
        <v>140</v>
      </c>
      <c r="BH140" s="30">
        <f>F140*AO140</f>
        <v>0</v>
      </c>
      <c r="BI140" s="30">
        <f>F140*AP140</f>
        <v>0</v>
      </c>
      <c r="BJ140" s="30">
        <f>F140*G140</f>
        <v>0</v>
      </c>
      <c r="BK140" s="30"/>
      <c r="BL140" s="30">
        <v>18</v>
      </c>
      <c r="BW140" s="30">
        <v>21</v>
      </c>
      <c r="BX140" s="4" t="s">
        <v>360</v>
      </c>
    </row>
    <row r="141" spans="1:76" ht="13.5" customHeight="1" x14ac:dyDescent="0.3">
      <c r="A141" s="34"/>
      <c r="B141" s="35" t="s">
        <v>65</v>
      </c>
      <c r="C141" s="76" t="s">
        <v>361</v>
      </c>
      <c r="D141" s="77"/>
      <c r="E141" s="77"/>
      <c r="F141" s="77"/>
      <c r="G141" s="78"/>
      <c r="H141" s="77"/>
      <c r="I141" s="77"/>
      <c r="J141" s="77"/>
      <c r="K141" s="79"/>
    </row>
    <row r="142" spans="1:76" ht="14.4" x14ac:dyDescent="0.3">
      <c r="A142" s="34"/>
      <c r="C142" s="37" t="s">
        <v>362</v>
      </c>
      <c r="D142" s="37" t="s">
        <v>353</v>
      </c>
      <c r="F142" s="38">
        <v>0.6</v>
      </c>
      <c r="K142" s="39"/>
    </row>
    <row r="143" spans="1:76" ht="14.4" x14ac:dyDescent="0.3">
      <c r="A143" s="34"/>
      <c r="C143" s="37" t="s">
        <v>363</v>
      </c>
      <c r="D143" s="37" t="s">
        <v>364</v>
      </c>
      <c r="F143" s="38">
        <v>4.6500000000000004</v>
      </c>
      <c r="K143" s="39"/>
    </row>
    <row r="144" spans="1:76" ht="14.4" x14ac:dyDescent="0.3">
      <c r="A144" s="34"/>
      <c r="C144" s="37" t="s">
        <v>365</v>
      </c>
      <c r="D144" s="37" t="s">
        <v>366</v>
      </c>
      <c r="F144" s="38">
        <v>6.1</v>
      </c>
      <c r="K144" s="39"/>
    </row>
    <row r="145" spans="1:76" ht="14.4" x14ac:dyDescent="0.3">
      <c r="A145" s="34"/>
      <c r="C145" s="37" t="s">
        <v>367</v>
      </c>
      <c r="D145" s="37" t="s">
        <v>277</v>
      </c>
      <c r="F145" s="38">
        <v>6.54</v>
      </c>
      <c r="K145" s="39"/>
    </row>
    <row r="146" spans="1:76" ht="14.4" x14ac:dyDescent="0.3">
      <c r="A146" s="2" t="s">
        <v>368</v>
      </c>
      <c r="B146" s="3" t="s">
        <v>369</v>
      </c>
      <c r="C146" s="70" t="s">
        <v>370</v>
      </c>
      <c r="D146" s="71"/>
      <c r="E146" s="3" t="s">
        <v>84</v>
      </c>
      <c r="F146" s="30">
        <v>18</v>
      </c>
      <c r="G146" s="31">
        <v>0</v>
      </c>
      <c r="H146" s="30">
        <f>ROUND(F146*AO146,2)</f>
        <v>0</v>
      </c>
      <c r="I146" s="30">
        <f>ROUND(F146*AP146,2)</f>
        <v>0</v>
      </c>
      <c r="J146" s="30">
        <f>ROUND(F146*G146,2)</f>
        <v>0</v>
      </c>
      <c r="K146" s="32" t="s">
        <v>73</v>
      </c>
      <c r="Z146" s="30">
        <f>ROUND(IF(AQ146="5",BJ146,0),2)</f>
        <v>0</v>
      </c>
      <c r="AB146" s="30">
        <f>ROUND(IF(AQ146="1",BH146,0),2)</f>
        <v>0</v>
      </c>
      <c r="AC146" s="30">
        <f>ROUND(IF(AQ146="1",BI146,0),2)</f>
        <v>0</v>
      </c>
      <c r="AD146" s="30">
        <f>ROUND(IF(AQ146="7",BH146,0),2)</f>
        <v>0</v>
      </c>
      <c r="AE146" s="30">
        <f>ROUND(IF(AQ146="7",BI146,0),2)</f>
        <v>0</v>
      </c>
      <c r="AF146" s="30">
        <f>ROUND(IF(AQ146="2",BH146,0),2)</f>
        <v>0</v>
      </c>
      <c r="AG146" s="30">
        <f>ROUND(IF(AQ146="2",BI146,0),2)</f>
        <v>0</v>
      </c>
      <c r="AH146" s="30">
        <f>ROUND(IF(AQ146="0",BJ146,0),2)</f>
        <v>0</v>
      </c>
      <c r="AI146" s="10" t="s">
        <v>262</v>
      </c>
      <c r="AJ146" s="30">
        <f>IF(AN146=0,J146,0)</f>
        <v>0</v>
      </c>
      <c r="AK146" s="30">
        <f>IF(AN146=12,J146,0)</f>
        <v>0</v>
      </c>
      <c r="AL146" s="30">
        <f>IF(AN146=21,J146,0)</f>
        <v>0</v>
      </c>
      <c r="AN146" s="30">
        <v>21</v>
      </c>
      <c r="AO146" s="30">
        <f>G146*0</f>
        <v>0</v>
      </c>
      <c r="AP146" s="30">
        <f>G146*(1-0)</f>
        <v>0</v>
      </c>
      <c r="AQ146" s="33" t="s">
        <v>57</v>
      </c>
      <c r="AV146" s="30">
        <f>ROUND(AW146+AX146,2)</f>
        <v>0</v>
      </c>
      <c r="AW146" s="30">
        <f>ROUND(F146*AO146,2)</f>
        <v>0</v>
      </c>
      <c r="AX146" s="30">
        <f>ROUND(F146*AP146,2)</f>
        <v>0</v>
      </c>
      <c r="AY146" s="33" t="s">
        <v>97</v>
      </c>
      <c r="AZ146" s="33" t="s">
        <v>266</v>
      </c>
      <c r="BA146" s="10" t="s">
        <v>267</v>
      </c>
      <c r="BC146" s="30">
        <f>AW146+AX146</f>
        <v>0</v>
      </c>
      <c r="BD146" s="30">
        <f>G146/(100-BE146)*100</f>
        <v>0</v>
      </c>
      <c r="BE146" s="30">
        <v>0</v>
      </c>
      <c r="BF146" s="30">
        <f>146</f>
        <v>146</v>
      </c>
      <c r="BH146" s="30">
        <f>F146*AO146</f>
        <v>0</v>
      </c>
      <c r="BI146" s="30">
        <f>F146*AP146</f>
        <v>0</v>
      </c>
      <c r="BJ146" s="30">
        <f>F146*G146</f>
        <v>0</v>
      </c>
      <c r="BK146" s="30"/>
      <c r="BL146" s="30">
        <v>18</v>
      </c>
      <c r="BW146" s="30">
        <v>21</v>
      </c>
      <c r="BX146" s="4" t="s">
        <v>370</v>
      </c>
    </row>
    <row r="147" spans="1:76" ht="14.4" x14ac:dyDescent="0.3">
      <c r="A147" s="2" t="s">
        <v>371</v>
      </c>
      <c r="B147" s="3" t="s">
        <v>359</v>
      </c>
      <c r="C147" s="70" t="s">
        <v>360</v>
      </c>
      <c r="D147" s="71"/>
      <c r="E147" s="3" t="s">
        <v>84</v>
      </c>
      <c r="F147" s="30">
        <v>180.24</v>
      </c>
      <c r="G147" s="31">
        <v>0</v>
      </c>
      <c r="H147" s="30">
        <f>ROUND(F147*AO147,2)</f>
        <v>0</v>
      </c>
      <c r="I147" s="30">
        <f>ROUND(F147*AP147,2)</f>
        <v>0</v>
      </c>
      <c r="J147" s="30">
        <f>ROUND(F147*G147,2)</f>
        <v>0</v>
      </c>
      <c r="K147" s="32" t="s">
        <v>73</v>
      </c>
      <c r="Z147" s="30">
        <f>ROUND(IF(AQ147="5",BJ147,0),2)</f>
        <v>0</v>
      </c>
      <c r="AB147" s="30">
        <f>ROUND(IF(AQ147="1",BH147,0),2)</f>
        <v>0</v>
      </c>
      <c r="AC147" s="30">
        <f>ROUND(IF(AQ147="1",BI147,0),2)</f>
        <v>0</v>
      </c>
      <c r="AD147" s="30">
        <f>ROUND(IF(AQ147="7",BH147,0),2)</f>
        <v>0</v>
      </c>
      <c r="AE147" s="30">
        <f>ROUND(IF(AQ147="7",BI147,0),2)</f>
        <v>0</v>
      </c>
      <c r="AF147" s="30">
        <f>ROUND(IF(AQ147="2",BH147,0),2)</f>
        <v>0</v>
      </c>
      <c r="AG147" s="30">
        <f>ROUND(IF(AQ147="2",BI147,0),2)</f>
        <v>0</v>
      </c>
      <c r="AH147" s="30">
        <f>ROUND(IF(AQ147="0",BJ147,0),2)</f>
        <v>0</v>
      </c>
      <c r="AI147" s="10" t="s">
        <v>262</v>
      </c>
      <c r="AJ147" s="30">
        <f>IF(AN147=0,J147,0)</f>
        <v>0</v>
      </c>
      <c r="AK147" s="30">
        <f>IF(AN147=12,J147,0)</f>
        <v>0</v>
      </c>
      <c r="AL147" s="30">
        <f>IF(AN147=21,J147,0)</f>
        <v>0</v>
      </c>
      <c r="AN147" s="30">
        <v>21</v>
      </c>
      <c r="AO147" s="30">
        <f>G147*0.079638344</f>
        <v>0</v>
      </c>
      <c r="AP147" s="30">
        <f>G147*(1-0.079638344)</f>
        <v>0</v>
      </c>
      <c r="AQ147" s="33" t="s">
        <v>57</v>
      </c>
      <c r="AV147" s="30">
        <f>ROUND(AW147+AX147,2)</f>
        <v>0</v>
      </c>
      <c r="AW147" s="30">
        <f>ROUND(F147*AO147,2)</f>
        <v>0</v>
      </c>
      <c r="AX147" s="30">
        <f>ROUND(F147*AP147,2)</f>
        <v>0</v>
      </c>
      <c r="AY147" s="33" t="s">
        <v>97</v>
      </c>
      <c r="AZ147" s="33" t="s">
        <v>266</v>
      </c>
      <c r="BA147" s="10" t="s">
        <v>267</v>
      </c>
      <c r="BC147" s="30">
        <f>AW147+AX147</f>
        <v>0</v>
      </c>
      <c r="BD147" s="30">
        <f>G147/(100-BE147)*100</f>
        <v>0</v>
      </c>
      <c r="BE147" s="30">
        <v>0</v>
      </c>
      <c r="BF147" s="30">
        <f>147</f>
        <v>147</v>
      </c>
      <c r="BH147" s="30">
        <f>F147*AO147</f>
        <v>0</v>
      </c>
      <c r="BI147" s="30">
        <f>F147*AP147</f>
        <v>0</v>
      </c>
      <c r="BJ147" s="30">
        <f>F147*G147</f>
        <v>0</v>
      </c>
      <c r="BK147" s="30"/>
      <c r="BL147" s="30">
        <v>18</v>
      </c>
      <c r="BW147" s="30">
        <v>21</v>
      </c>
      <c r="BX147" s="4" t="s">
        <v>360</v>
      </c>
    </row>
    <row r="148" spans="1:76" ht="14.4" x14ac:dyDescent="0.3">
      <c r="A148" s="34"/>
      <c r="C148" s="37" t="s">
        <v>372</v>
      </c>
      <c r="D148" s="37" t="s">
        <v>373</v>
      </c>
      <c r="F148" s="38">
        <v>7.2</v>
      </c>
      <c r="K148" s="39"/>
    </row>
    <row r="149" spans="1:76" ht="14.4" x14ac:dyDescent="0.3">
      <c r="A149" s="34"/>
      <c r="C149" s="37" t="s">
        <v>374</v>
      </c>
      <c r="D149" s="37" t="s">
        <v>375</v>
      </c>
      <c r="F149" s="38">
        <v>4.8</v>
      </c>
      <c r="K149" s="39"/>
    </row>
    <row r="150" spans="1:76" ht="14.4" x14ac:dyDescent="0.3">
      <c r="A150" s="34"/>
      <c r="C150" s="37" t="s">
        <v>376</v>
      </c>
      <c r="D150" s="37" t="s">
        <v>377</v>
      </c>
      <c r="F150" s="38">
        <v>37.200000000000003</v>
      </c>
      <c r="K150" s="39"/>
    </row>
    <row r="151" spans="1:76" ht="14.4" x14ac:dyDescent="0.3">
      <c r="A151" s="34"/>
      <c r="C151" s="37" t="s">
        <v>378</v>
      </c>
      <c r="D151" s="37" t="s">
        <v>379</v>
      </c>
      <c r="F151" s="38">
        <v>18.600000000000001</v>
      </c>
      <c r="K151" s="39"/>
    </row>
    <row r="152" spans="1:76" ht="14.4" x14ac:dyDescent="0.3">
      <c r="A152" s="34"/>
      <c r="C152" s="37" t="s">
        <v>380</v>
      </c>
      <c r="D152" s="37" t="s">
        <v>381</v>
      </c>
      <c r="F152" s="38">
        <v>48.8</v>
      </c>
      <c r="K152" s="39"/>
    </row>
    <row r="153" spans="1:76" ht="14.4" x14ac:dyDescent="0.3">
      <c r="A153" s="34"/>
      <c r="C153" s="37" t="s">
        <v>382</v>
      </c>
      <c r="D153" s="37" t="s">
        <v>383</v>
      </c>
      <c r="F153" s="38">
        <v>24.4</v>
      </c>
      <c r="K153" s="39"/>
    </row>
    <row r="154" spans="1:76" ht="14.4" x14ac:dyDescent="0.3">
      <c r="A154" s="34"/>
      <c r="C154" s="37" t="s">
        <v>384</v>
      </c>
      <c r="D154" s="37" t="s">
        <v>385</v>
      </c>
      <c r="F154" s="38">
        <v>26.16</v>
      </c>
      <c r="K154" s="39"/>
    </row>
    <row r="155" spans="1:76" ht="14.4" x14ac:dyDescent="0.3">
      <c r="A155" s="34"/>
      <c r="C155" s="37" t="s">
        <v>386</v>
      </c>
      <c r="D155" s="37" t="s">
        <v>387</v>
      </c>
      <c r="F155" s="38">
        <v>13.08</v>
      </c>
      <c r="K155" s="39"/>
    </row>
    <row r="156" spans="1:76" ht="14.4" x14ac:dyDescent="0.3">
      <c r="A156" s="2" t="s">
        <v>388</v>
      </c>
      <c r="B156" s="3" t="s">
        <v>369</v>
      </c>
      <c r="C156" s="70" t="s">
        <v>370</v>
      </c>
      <c r="D156" s="71"/>
      <c r="E156" s="3" t="s">
        <v>84</v>
      </c>
      <c r="F156" s="30">
        <v>182</v>
      </c>
      <c r="G156" s="31">
        <v>0</v>
      </c>
      <c r="H156" s="30">
        <f>ROUND(F156*AO156,2)</f>
        <v>0</v>
      </c>
      <c r="I156" s="30">
        <f>ROUND(F156*AP156,2)</f>
        <v>0</v>
      </c>
      <c r="J156" s="30">
        <f>ROUND(F156*G156,2)</f>
        <v>0</v>
      </c>
      <c r="K156" s="32" t="s">
        <v>73</v>
      </c>
      <c r="Z156" s="30">
        <f>ROUND(IF(AQ156="5",BJ156,0),2)</f>
        <v>0</v>
      </c>
      <c r="AB156" s="30">
        <f>ROUND(IF(AQ156="1",BH156,0),2)</f>
        <v>0</v>
      </c>
      <c r="AC156" s="30">
        <f>ROUND(IF(AQ156="1",BI156,0),2)</f>
        <v>0</v>
      </c>
      <c r="AD156" s="30">
        <f>ROUND(IF(AQ156="7",BH156,0),2)</f>
        <v>0</v>
      </c>
      <c r="AE156" s="30">
        <f>ROUND(IF(AQ156="7",BI156,0),2)</f>
        <v>0</v>
      </c>
      <c r="AF156" s="30">
        <f>ROUND(IF(AQ156="2",BH156,0),2)</f>
        <v>0</v>
      </c>
      <c r="AG156" s="30">
        <f>ROUND(IF(AQ156="2",BI156,0),2)</f>
        <v>0</v>
      </c>
      <c r="AH156" s="30">
        <f>ROUND(IF(AQ156="0",BJ156,0),2)</f>
        <v>0</v>
      </c>
      <c r="AI156" s="10" t="s">
        <v>262</v>
      </c>
      <c r="AJ156" s="30">
        <f>IF(AN156=0,J156,0)</f>
        <v>0</v>
      </c>
      <c r="AK156" s="30">
        <f>IF(AN156=12,J156,0)</f>
        <v>0</v>
      </c>
      <c r="AL156" s="30">
        <f>IF(AN156=21,J156,0)</f>
        <v>0</v>
      </c>
      <c r="AN156" s="30">
        <v>21</v>
      </c>
      <c r="AO156" s="30">
        <f>G156*0</f>
        <v>0</v>
      </c>
      <c r="AP156" s="30">
        <f>G156*(1-0)</f>
        <v>0</v>
      </c>
      <c r="AQ156" s="33" t="s">
        <v>57</v>
      </c>
      <c r="AV156" s="30">
        <f>ROUND(AW156+AX156,2)</f>
        <v>0</v>
      </c>
      <c r="AW156" s="30">
        <f>ROUND(F156*AO156,2)</f>
        <v>0</v>
      </c>
      <c r="AX156" s="30">
        <f>ROUND(F156*AP156,2)</f>
        <v>0</v>
      </c>
      <c r="AY156" s="33" t="s">
        <v>97</v>
      </c>
      <c r="AZ156" s="33" t="s">
        <v>266</v>
      </c>
      <c r="BA156" s="10" t="s">
        <v>267</v>
      </c>
      <c r="BC156" s="30">
        <f>AW156+AX156</f>
        <v>0</v>
      </c>
      <c r="BD156" s="30">
        <f>G156/(100-BE156)*100</f>
        <v>0</v>
      </c>
      <c r="BE156" s="30">
        <v>0</v>
      </c>
      <c r="BF156" s="30">
        <f>156</f>
        <v>156</v>
      </c>
      <c r="BH156" s="30">
        <f>F156*AO156</f>
        <v>0</v>
      </c>
      <c r="BI156" s="30">
        <f>F156*AP156</f>
        <v>0</v>
      </c>
      <c r="BJ156" s="30">
        <f>F156*G156</f>
        <v>0</v>
      </c>
      <c r="BK156" s="30"/>
      <c r="BL156" s="30">
        <v>18</v>
      </c>
      <c r="BW156" s="30">
        <v>21</v>
      </c>
      <c r="BX156" s="4" t="s">
        <v>370</v>
      </c>
    </row>
    <row r="157" spans="1:76" ht="14.4" x14ac:dyDescent="0.3">
      <c r="A157" s="2" t="s">
        <v>389</v>
      </c>
      <c r="B157" s="3" t="s">
        <v>390</v>
      </c>
      <c r="C157" s="70" t="s">
        <v>391</v>
      </c>
      <c r="D157" s="71"/>
      <c r="E157" s="3" t="s">
        <v>72</v>
      </c>
      <c r="F157" s="30">
        <v>735</v>
      </c>
      <c r="G157" s="31">
        <v>0</v>
      </c>
      <c r="H157" s="30">
        <f>ROUND(F157*AO157,2)</f>
        <v>0</v>
      </c>
      <c r="I157" s="30">
        <f>ROUND(F157*AP157,2)</f>
        <v>0</v>
      </c>
      <c r="J157" s="30">
        <f>ROUND(F157*G157,2)</f>
        <v>0</v>
      </c>
      <c r="K157" s="32" t="s">
        <v>73</v>
      </c>
      <c r="Z157" s="30">
        <f>ROUND(IF(AQ157="5",BJ157,0),2)</f>
        <v>0</v>
      </c>
      <c r="AB157" s="30">
        <f>ROUND(IF(AQ157="1",BH157,0),2)</f>
        <v>0</v>
      </c>
      <c r="AC157" s="30">
        <f>ROUND(IF(AQ157="1",BI157,0),2)</f>
        <v>0</v>
      </c>
      <c r="AD157" s="30">
        <f>ROUND(IF(AQ157="7",BH157,0),2)</f>
        <v>0</v>
      </c>
      <c r="AE157" s="30">
        <f>ROUND(IF(AQ157="7",BI157,0),2)</f>
        <v>0</v>
      </c>
      <c r="AF157" s="30">
        <f>ROUND(IF(AQ157="2",BH157,0),2)</f>
        <v>0</v>
      </c>
      <c r="AG157" s="30">
        <f>ROUND(IF(AQ157="2",BI157,0),2)</f>
        <v>0</v>
      </c>
      <c r="AH157" s="30">
        <f>ROUND(IF(AQ157="0",BJ157,0),2)</f>
        <v>0</v>
      </c>
      <c r="AI157" s="10" t="s">
        <v>262</v>
      </c>
      <c r="AJ157" s="30">
        <f>IF(AN157=0,J157,0)</f>
        <v>0</v>
      </c>
      <c r="AK157" s="30">
        <f>IF(AN157=12,J157,0)</f>
        <v>0</v>
      </c>
      <c r="AL157" s="30">
        <f>IF(AN157=21,J157,0)</f>
        <v>0</v>
      </c>
      <c r="AN157" s="30">
        <v>21</v>
      </c>
      <c r="AO157" s="30">
        <f>G157*0</f>
        <v>0</v>
      </c>
      <c r="AP157" s="30">
        <f>G157*(1-0)</f>
        <v>0</v>
      </c>
      <c r="AQ157" s="33" t="s">
        <v>57</v>
      </c>
      <c r="AV157" s="30">
        <f>ROUND(AW157+AX157,2)</f>
        <v>0</v>
      </c>
      <c r="AW157" s="30">
        <f>ROUND(F157*AO157,2)</f>
        <v>0</v>
      </c>
      <c r="AX157" s="30">
        <f>ROUND(F157*AP157,2)</f>
        <v>0</v>
      </c>
      <c r="AY157" s="33" t="s">
        <v>97</v>
      </c>
      <c r="AZ157" s="33" t="s">
        <v>266</v>
      </c>
      <c r="BA157" s="10" t="s">
        <v>267</v>
      </c>
      <c r="BC157" s="30">
        <f>AW157+AX157</f>
        <v>0</v>
      </c>
      <c r="BD157" s="30">
        <f>G157/(100-BE157)*100</f>
        <v>0</v>
      </c>
      <c r="BE157" s="30">
        <v>0</v>
      </c>
      <c r="BF157" s="30">
        <f>157</f>
        <v>157</v>
      </c>
      <c r="BH157" s="30">
        <f>F157*AO157</f>
        <v>0</v>
      </c>
      <c r="BI157" s="30">
        <f>F157*AP157</f>
        <v>0</v>
      </c>
      <c r="BJ157" s="30">
        <f>F157*G157</f>
        <v>0</v>
      </c>
      <c r="BK157" s="30"/>
      <c r="BL157" s="30">
        <v>18</v>
      </c>
      <c r="BW157" s="30">
        <v>21</v>
      </c>
      <c r="BX157" s="4" t="s">
        <v>391</v>
      </c>
    </row>
    <row r="158" spans="1:76" ht="14.4" x14ac:dyDescent="0.3">
      <c r="A158" s="34"/>
      <c r="C158" s="37" t="s">
        <v>392</v>
      </c>
      <c r="D158" s="37" t="s">
        <v>393</v>
      </c>
      <c r="F158" s="38">
        <v>420</v>
      </c>
      <c r="K158" s="39"/>
    </row>
    <row r="159" spans="1:76" ht="14.4" x14ac:dyDescent="0.3">
      <c r="A159" s="34"/>
      <c r="C159" s="37" t="s">
        <v>394</v>
      </c>
      <c r="D159" s="37" t="s">
        <v>395</v>
      </c>
      <c r="F159" s="38">
        <v>315</v>
      </c>
      <c r="K159" s="39"/>
    </row>
    <row r="160" spans="1:76" ht="14.4" x14ac:dyDescent="0.3">
      <c r="A160" s="2" t="s">
        <v>396</v>
      </c>
      <c r="B160" s="3" t="s">
        <v>397</v>
      </c>
      <c r="C160" s="70" t="s">
        <v>398</v>
      </c>
      <c r="D160" s="71"/>
      <c r="E160" s="3" t="s">
        <v>72</v>
      </c>
      <c r="F160" s="30">
        <v>364</v>
      </c>
      <c r="G160" s="31">
        <v>0</v>
      </c>
      <c r="H160" s="30">
        <f>ROUND(F160*AO160,2)</f>
        <v>0</v>
      </c>
      <c r="I160" s="30">
        <f>ROUND(F160*AP160,2)</f>
        <v>0</v>
      </c>
      <c r="J160" s="30">
        <f>ROUND(F160*G160,2)</f>
        <v>0</v>
      </c>
      <c r="K160" s="32" t="s">
        <v>73</v>
      </c>
      <c r="Z160" s="30">
        <f>ROUND(IF(AQ160="5",BJ160,0),2)</f>
        <v>0</v>
      </c>
      <c r="AB160" s="30">
        <f>ROUND(IF(AQ160="1",BH160,0),2)</f>
        <v>0</v>
      </c>
      <c r="AC160" s="30">
        <f>ROUND(IF(AQ160="1",BI160,0),2)</f>
        <v>0</v>
      </c>
      <c r="AD160" s="30">
        <f>ROUND(IF(AQ160="7",BH160,0),2)</f>
        <v>0</v>
      </c>
      <c r="AE160" s="30">
        <f>ROUND(IF(AQ160="7",BI160,0),2)</f>
        <v>0</v>
      </c>
      <c r="AF160" s="30">
        <f>ROUND(IF(AQ160="2",BH160,0),2)</f>
        <v>0</v>
      </c>
      <c r="AG160" s="30">
        <f>ROUND(IF(AQ160="2",BI160,0),2)</f>
        <v>0</v>
      </c>
      <c r="AH160" s="30">
        <f>ROUND(IF(AQ160="0",BJ160,0),2)</f>
        <v>0</v>
      </c>
      <c r="AI160" s="10" t="s">
        <v>262</v>
      </c>
      <c r="AJ160" s="30">
        <f>IF(AN160=0,J160,0)</f>
        <v>0</v>
      </c>
      <c r="AK160" s="30">
        <f>IF(AN160=12,J160,0)</f>
        <v>0</v>
      </c>
      <c r="AL160" s="30">
        <f>IF(AN160=21,J160,0)</f>
        <v>0</v>
      </c>
      <c r="AN160" s="30">
        <v>21</v>
      </c>
      <c r="AO160" s="30">
        <f>G160*0</f>
        <v>0</v>
      </c>
      <c r="AP160" s="30">
        <f>G160*(1-0)</f>
        <v>0</v>
      </c>
      <c r="AQ160" s="33" t="s">
        <v>57</v>
      </c>
      <c r="AV160" s="30">
        <f>ROUND(AW160+AX160,2)</f>
        <v>0</v>
      </c>
      <c r="AW160" s="30">
        <f>ROUND(F160*AO160,2)</f>
        <v>0</v>
      </c>
      <c r="AX160" s="30">
        <f>ROUND(F160*AP160,2)</f>
        <v>0</v>
      </c>
      <c r="AY160" s="33" t="s">
        <v>97</v>
      </c>
      <c r="AZ160" s="33" t="s">
        <v>266</v>
      </c>
      <c r="BA160" s="10" t="s">
        <v>267</v>
      </c>
      <c r="BC160" s="30">
        <f>AW160+AX160</f>
        <v>0</v>
      </c>
      <c r="BD160" s="30">
        <f>G160/(100-BE160)*100</f>
        <v>0</v>
      </c>
      <c r="BE160" s="30">
        <v>0</v>
      </c>
      <c r="BF160" s="30">
        <f>160</f>
        <v>160</v>
      </c>
      <c r="BH160" s="30">
        <f>F160*AO160</f>
        <v>0</v>
      </c>
      <c r="BI160" s="30">
        <f>F160*AP160</f>
        <v>0</v>
      </c>
      <c r="BJ160" s="30">
        <f>F160*G160</f>
        <v>0</v>
      </c>
      <c r="BK160" s="30"/>
      <c r="BL160" s="30">
        <v>18</v>
      </c>
      <c r="BW160" s="30">
        <v>21</v>
      </c>
      <c r="BX160" s="4" t="s">
        <v>398</v>
      </c>
    </row>
    <row r="161" spans="1:76" ht="14.4" x14ac:dyDescent="0.3">
      <c r="A161" s="34"/>
      <c r="C161" s="37" t="s">
        <v>399</v>
      </c>
      <c r="D161" s="37" t="s">
        <v>385</v>
      </c>
      <c r="F161" s="38">
        <v>208</v>
      </c>
      <c r="K161" s="39"/>
    </row>
    <row r="162" spans="1:76" ht="14.4" x14ac:dyDescent="0.3">
      <c r="A162" s="34"/>
      <c r="C162" s="37" t="s">
        <v>400</v>
      </c>
      <c r="D162" s="37" t="s">
        <v>387</v>
      </c>
      <c r="F162" s="38">
        <v>156</v>
      </c>
      <c r="K162" s="39"/>
    </row>
    <row r="163" spans="1:76" ht="14.4" x14ac:dyDescent="0.3">
      <c r="A163" s="2" t="s">
        <v>401</v>
      </c>
      <c r="B163" s="3" t="s">
        <v>402</v>
      </c>
      <c r="C163" s="70" t="s">
        <v>403</v>
      </c>
      <c r="D163" s="71"/>
      <c r="E163" s="3" t="s">
        <v>72</v>
      </c>
      <c r="F163" s="30">
        <v>312</v>
      </c>
      <c r="G163" s="31">
        <v>0</v>
      </c>
      <c r="H163" s="30">
        <f>ROUND(F163*AO163,2)</f>
        <v>0</v>
      </c>
      <c r="I163" s="30">
        <f>ROUND(F163*AP163,2)</f>
        <v>0</v>
      </c>
      <c r="J163" s="30">
        <f>ROUND(F163*G163,2)</f>
        <v>0</v>
      </c>
      <c r="K163" s="32" t="s">
        <v>73</v>
      </c>
      <c r="Z163" s="30">
        <f>ROUND(IF(AQ163="5",BJ163,0),2)</f>
        <v>0</v>
      </c>
      <c r="AB163" s="30">
        <f>ROUND(IF(AQ163="1",BH163,0),2)</f>
        <v>0</v>
      </c>
      <c r="AC163" s="30">
        <f>ROUND(IF(AQ163="1",BI163,0),2)</f>
        <v>0</v>
      </c>
      <c r="AD163" s="30">
        <f>ROUND(IF(AQ163="7",BH163,0),2)</f>
        <v>0</v>
      </c>
      <c r="AE163" s="30">
        <f>ROUND(IF(AQ163="7",BI163,0),2)</f>
        <v>0</v>
      </c>
      <c r="AF163" s="30">
        <f>ROUND(IF(AQ163="2",BH163,0),2)</f>
        <v>0</v>
      </c>
      <c r="AG163" s="30">
        <f>ROUND(IF(AQ163="2",BI163,0),2)</f>
        <v>0</v>
      </c>
      <c r="AH163" s="30">
        <f>ROUND(IF(AQ163="0",BJ163,0),2)</f>
        <v>0</v>
      </c>
      <c r="AI163" s="10" t="s">
        <v>262</v>
      </c>
      <c r="AJ163" s="30">
        <f>IF(AN163=0,J163,0)</f>
        <v>0</v>
      </c>
      <c r="AK163" s="30">
        <f>IF(AN163=12,J163,0)</f>
        <v>0</v>
      </c>
      <c r="AL163" s="30">
        <f>IF(AN163=21,J163,0)</f>
        <v>0</v>
      </c>
      <c r="AN163" s="30">
        <v>21</v>
      </c>
      <c r="AO163" s="30">
        <f>G163*0</f>
        <v>0</v>
      </c>
      <c r="AP163" s="30">
        <f>G163*(1-0)</f>
        <v>0</v>
      </c>
      <c r="AQ163" s="33" t="s">
        <v>57</v>
      </c>
      <c r="AV163" s="30">
        <f>ROUND(AW163+AX163,2)</f>
        <v>0</v>
      </c>
      <c r="AW163" s="30">
        <f>ROUND(F163*AO163,2)</f>
        <v>0</v>
      </c>
      <c r="AX163" s="30">
        <f>ROUND(F163*AP163,2)</f>
        <v>0</v>
      </c>
      <c r="AY163" s="33" t="s">
        <v>97</v>
      </c>
      <c r="AZ163" s="33" t="s">
        <v>266</v>
      </c>
      <c r="BA163" s="10" t="s">
        <v>267</v>
      </c>
      <c r="BC163" s="30">
        <f>AW163+AX163</f>
        <v>0</v>
      </c>
      <c r="BD163" s="30">
        <f>G163/(100-BE163)*100</f>
        <v>0</v>
      </c>
      <c r="BE163" s="30">
        <v>0</v>
      </c>
      <c r="BF163" s="30">
        <f>163</f>
        <v>163</v>
      </c>
      <c r="BH163" s="30">
        <f>F163*AO163</f>
        <v>0</v>
      </c>
      <c r="BI163" s="30">
        <f>F163*AP163</f>
        <v>0</v>
      </c>
      <c r="BJ163" s="30">
        <f>F163*G163</f>
        <v>0</v>
      </c>
      <c r="BK163" s="30"/>
      <c r="BL163" s="30">
        <v>18</v>
      </c>
      <c r="BW163" s="30">
        <v>21</v>
      </c>
      <c r="BX163" s="4" t="s">
        <v>403</v>
      </c>
    </row>
    <row r="164" spans="1:76" ht="14.4" x14ac:dyDescent="0.3">
      <c r="A164" s="34"/>
      <c r="C164" s="37" t="s">
        <v>400</v>
      </c>
      <c r="D164" s="37" t="s">
        <v>404</v>
      </c>
      <c r="F164" s="38">
        <v>156</v>
      </c>
      <c r="K164" s="39"/>
    </row>
    <row r="165" spans="1:76" ht="14.4" x14ac:dyDescent="0.3">
      <c r="A165" s="34"/>
      <c r="C165" s="37" t="s">
        <v>400</v>
      </c>
      <c r="D165" s="37" t="s">
        <v>405</v>
      </c>
      <c r="F165" s="38">
        <v>156</v>
      </c>
      <c r="K165" s="39"/>
    </row>
    <row r="166" spans="1:76" ht="14.4" x14ac:dyDescent="0.3">
      <c r="A166" s="2" t="s">
        <v>406</v>
      </c>
      <c r="B166" s="3" t="s">
        <v>407</v>
      </c>
      <c r="C166" s="70" t="s">
        <v>408</v>
      </c>
      <c r="D166" s="71"/>
      <c r="E166" s="3" t="s">
        <v>180</v>
      </c>
      <c r="F166" s="30">
        <v>12</v>
      </c>
      <c r="G166" s="31">
        <v>0</v>
      </c>
      <c r="H166" s="30">
        <f>ROUND(F166*AO166,2)</f>
        <v>0</v>
      </c>
      <c r="I166" s="30">
        <f>ROUND(F166*AP166,2)</f>
        <v>0</v>
      </c>
      <c r="J166" s="30">
        <f>ROUND(F166*G166,2)</f>
        <v>0</v>
      </c>
      <c r="K166" s="32" t="s">
        <v>292</v>
      </c>
      <c r="Z166" s="30">
        <f>ROUND(IF(AQ166="5",BJ166,0),2)</f>
        <v>0</v>
      </c>
      <c r="AB166" s="30">
        <f>ROUND(IF(AQ166="1",BH166,0),2)</f>
        <v>0</v>
      </c>
      <c r="AC166" s="30">
        <f>ROUND(IF(AQ166="1",BI166,0),2)</f>
        <v>0</v>
      </c>
      <c r="AD166" s="30">
        <f>ROUND(IF(AQ166="7",BH166,0),2)</f>
        <v>0</v>
      </c>
      <c r="AE166" s="30">
        <f>ROUND(IF(AQ166="7",BI166,0),2)</f>
        <v>0</v>
      </c>
      <c r="AF166" s="30">
        <f>ROUND(IF(AQ166="2",BH166,0),2)</f>
        <v>0</v>
      </c>
      <c r="AG166" s="30">
        <f>ROUND(IF(AQ166="2",BI166,0),2)</f>
        <v>0</v>
      </c>
      <c r="AH166" s="30">
        <f>ROUND(IF(AQ166="0",BJ166,0),2)</f>
        <v>0</v>
      </c>
      <c r="AI166" s="10" t="s">
        <v>262</v>
      </c>
      <c r="AJ166" s="30">
        <f>IF(AN166=0,J166,0)</f>
        <v>0</v>
      </c>
      <c r="AK166" s="30">
        <f>IF(AN166=12,J166,0)</f>
        <v>0</v>
      </c>
      <c r="AL166" s="30">
        <f>IF(AN166=21,J166,0)</f>
        <v>0</v>
      </c>
      <c r="AN166" s="30">
        <v>21</v>
      </c>
      <c r="AO166" s="30">
        <f>G166*0.295774648</f>
        <v>0</v>
      </c>
      <c r="AP166" s="30">
        <f>G166*(1-0.295774648)</f>
        <v>0</v>
      </c>
      <c r="AQ166" s="33" t="s">
        <v>57</v>
      </c>
      <c r="AV166" s="30">
        <f>ROUND(AW166+AX166,2)</f>
        <v>0</v>
      </c>
      <c r="AW166" s="30">
        <f>ROUND(F166*AO166,2)</f>
        <v>0</v>
      </c>
      <c r="AX166" s="30">
        <f>ROUND(F166*AP166,2)</f>
        <v>0</v>
      </c>
      <c r="AY166" s="33" t="s">
        <v>97</v>
      </c>
      <c r="AZ166" s="33" t="s">
        <v>266</v>
      </c>
      <c r="BA166" s="10" t="s">
        <v>267</v>
      </c>
      <c r="BC166" s="30">
        <f>AW166+AX166</f>
        <v>0</v>
      </c>
      <c r="BD166" s="30">
        <f>G166/(100-BE166)*100</f>
        <v>0</v>
      </c>
      <c r="BE166" s="30">
        <v>0</v>
      </c>
      <c r="BF166" s="30">
        <f>166</f>
        <v>166</v>
      </c>
      <c r="BH166" s="30">
        <f>F166*AO166</f>
        <v>0</v>
      </c>
      <c r="BI166" s="30">
        <f>F166*AP166</f>
        <v>0</v>
      </c>
      <c r="BJ166" s="30">
        <f>F166*G166</f>
        <v>0</v>
      </c>
      <c r="BK166" s="30"/>
      <c r="BL166" s="30">
        <v>18</v>
      </c>
      <c r="BW166" s="30">
        <v>21</v>
      </c>
      <c r="BX166" s="4" t="s">
        <v>408</v>
      </c>
    </row>
    <row r="167" spans="1:76" ht="14.4" x14ac:dyDescent="0.3">
      <c r="A167" s="34"/>
      <c r="C167" s="37" t="s">
        <v>98</v>
      </c>
      <c r="D167" s="37" t="s">
        <v>404</v>
      </c>
      <c r="F167" s="38">
        <v>6</v>
      </c>
      <c r="K167" s="39"/>
    </row>
    <row r="168" spans="1:76" ht="14.4" x14ac:dyDescent="0.3">
      <c r="A168" s="34"/>
      <c r="C168" s="37" t="s">
        <v>98</v>
      </c>
      <c r="D168" s="37" t="s">
        <v>405</v>
      </c>
      <c r="F168" s="38">
        <v>6</v>
      </c>
      <c r="K168" s="39"/>
    </row>
    <row r="169" spans="1:76" ht="14.4" x14ac:dyDescent="0.3">
      <c r="A169" s="2" t="s">
        <v>409</v>
      </c>
      <c r="B169" s="3" t="s">
        <v>410</v>
      </c>
      <c r="C169" s="70" t="s">
        <v>411</v>
      </c>
      <c r="D169" s="71"/>
      <c r="E169" s="3" t="s">
        <v>155</v>
      </c>
      <c r="F169" s="30">
        <v>12.6</v>
      </c>
      <c r="G169" s="31">
        <v>0</v>
      </c>
      <c r="H169" s="30">
        <f>ROUND(F169*AO169,2)</f>
        <v>0</v>
      </c>
      <c r="I169" s="30">
        <f>ROUND(F169*AP169,2)</f>
        <v>0</v>
      </c>
      <c r="J169" s="30">
        <f>ROUND(F169*G169,2)</f>
        <v>0</v>
      </c>
      <c r="K169" s="32" t="s">
        <v>292</v>
      </c>
      <c r="Z169" s="30">
        <f>ROUND(IF(AQ169="5",BJ169,0),2)</f>
        <v>0</v>
      </c>
      <c r="AB169" s="30">
        <f>ROUND(IF(AQ169="1",BH169,0),2)</f>
        <v>0</v>
      </c>
      <c r="AC169" s="30">
        <f>ROUND(IF(AQ169="1",BI169,0),2)</f>
        <v>0</v>
      </c>
      <c r="AD169" s="30">
        <f>ROUND(IF(AQ169="7",BH169,0),2)</f>
        <v>0</v>
      </c>
      <c r="AE169" s="30">
        <f>ROUND(IF(AQ169="7",BI169,0),2)</f>
        <v>0</v>
      </c>
      <c r="AF169" s="30">
        <f>ROUND(IF(AQ169="2",BH169,0),2)</f>
        <v>0</v>
      </c>
      <c r="AG169" s="30">
        <f>ROUND(IF(AQ169="2",BI169,0),2)</f>
        <v>0</v>
      </c>
      <c r="AH169" s="30">
        <f>ROUND(IF(AQ169="0",BJ169,0),2)</f>
        <v>0</v>
      </c>
      <c r="AI169" s="10" t="s">
        <v>262</v>
      </c>
      <c r="AJ169" s="30">
        <f>IF(AN169=0,J169,0)</f>
        <v>0</v>
      </c>
      <c r="AK169" s="30">
        <f>IF(AN169=12,J169,0)</f>
        <v>0</v>
      </c>
      <c r="AL169" s="30">
        <f>IF(AN169=21,J169,0)</f>
        <v>0</v>
      </c>
      <c r="AN169" s="30">
        <v>21</v>
      </c>
      <c r="AO169" s="30">
        <f>G169*1</f>
        <v>0</v>
      </c>
      <c r="AP169" s="30">
        <f>G169*(1-1)</f>
        <v>0</v>
      </c>
      <c r="AQ169" s="33" t="s">
        <v>57</v>
      </c>
      <c r="AV169" s="30">
        <f>ROUND(AW169+AX169,2)</f>
        <v>0</v>
      </c>
      <c r="AW169" s="30">
        <f>ROUND(F169*AO169,2)</f>
        <v>0</v>
      </c>
      <c r="AX169" s="30">
        <f>ROUND(F169*AP169,2)</f>
        <v>0</v>
      </c>
      <c r="AY169" s="33" t="s">
        <v>97</v>
      </c>
      <c r="AZ169" s="33" t="s">
        <v>266</v>
      </c>
      <c r="BA169" s="10" t="s">
        <v>267</v>
      </c>
      <c r="BC169" s="30">
        <f>AW169+AX169</f>
        <v>0</v>
      </c>
      <c r="BD169" s="30">
        <f>G169/(100-BE169)*100</f>
        <v>0</v>
      </c>
      <c r="BE169" s="30">
        <v>0</v>
      </c>
      <c r="BF169" s="30">
        <f>169</f>
        <v>169</v>
      </c>
      <c r="BH169" s="30">
        <f>F169*AO169</f>
        <v>0</v>
      </c>
      <c r="BI169" s="30">
        <f>F169*AP169</f>
        <v>0</v>
      </c>
      <c r="BJ169" s="30">
        <f>F169*G169</f>
        <v>0</v>
      </c>
      <c r="BK169" s="30"/>
      <c r="BL169" s="30">
        <v>18</v>
      </c>
      <c r="BW169" s="30">
        <v>21</v>
      </c>
      <c r="BX169" s="4" t="s">
        <v>411</v>
      </c>
    </row>
    <row r="170" spans="1:76" ht="14.4" x14ac:dyDescent="0.3">
      <c r="A170" s="34"/>
      <c r="C170" s="37" t="s">
        <v>412</v>
      </c>
      <c r="D170" s="37" t="s">
        <v>52</v>
      </c>
      <c r="F170" s="38">
        <v>12.6</v>
      </c>
      <c r="K170" s="39"/>
    </row>
    <row r="171" spans="1:76" ht="14.4" x14ac:dyDescent="0.3">
      <c r="A171" s="2" t="s">
        <v>413</v>
      </c>
      <c r="B171" s="3" t="s">
        <v>414</v>
      </c>
      <c r="C171" s="70" t="s">
        <v>415</v>
      </c>
      <c r="D171" s="71"/>
      <c r="E171" s="3" t="s">
        <v>180</v>
      </c>
      <c r="F171" s="30">
        <v>18</v>
      </c>
      <c r="G171" s="31">
        <v>0</v>
      </c>
      <c r="H171" s="30">
        <f>ROUND(F171*AO171,2)</f>
        <v>0</v>
      </c>
      <c r="I171" s="30">
        <f>ROUND(F171*AP171,2)</f>
        <v>0</v>
      </c>
      <c r="J171" s="30">
        <f>ROUND(F171*G171,2)</f>
        <v>0</v>
      </c>
      <c r="K171" s="32" t="s">
        <v>292</v>
      </c>
      <c r="Z171" s="30">
        <f>ROUND(IF(AQ171="5",BJ171,0),2)</f>
        <v>0</v>
      </c>
      <c r="AB171" s="30">
        <f>ROUND(IF(AQ171="1",BH171,0),2)</f>
        <v>0</v>
      </c>
      <c r="AC171" s="30">
        <f>ROUND(IF(AQ171="1",BI171,0),2)</f>
        <v>0</v>
      </c>
      <c r="AD171" s="30">
        <f>ROUND(IF(AQ171="7",BH171,0),2)</f>
        <v>0</v>
      </c>
      <c r="AE171" s="30">
        <f>ROUND(IF(AQ171="7",BI171,0),2)</f>
        <v>0</v>
      </c>
      <c r="AF171" s="30">
        <f>ROUND(IF(AQ171="2",BH171,0),2)</f>
        <v>0</v>
      </c>
      <c r="AG171" s="30">
        <f>ROUND(IF(AQ171="2",BI171,0),2)</f>
        <v>0</v>
      </c>
      <c r="AH171" s="30">
        <f>ROUND(IF(AQ171="0",BJ171,0),2)</f>
        <v>0</v>
      </c>
      <c r="AI171" s="10" t="s">
        <v>262</v>
      </c>
      <c r="AJ171" s="30">
        <f>IF(AN171=0,J171,0)</f>
        <v>0</v>
      </c>
      <c r="AK171" s="30">
        <f>IF(AN171=12,J171,0)</f>
        <v>0</v>
      </c>
      <c r="AL171" s="30">
        <f>IF(AN171=21,J171,0)</f>
        <v>0</v>
      </c>
      <c r="AN171" s="30">
        <v>21</v>
      </c>
      <c r="AO171" s="30">
        <f>G171*1</f>
        <v>0</v>
      </c>
      <c r="AP171" s="30">
        <f>G171*(1-1)</f>
        <v>0</v>
      </c>
      <c r="AQ171" s="33" t="s">
        <v>57</v>
      </c>
      <c r="AV171" s="30">
        <f>ROUND(AW171+AX171,2)</f>
        <v>0</v>
      </c>
      <c r="AW171" s="30">
        <f>ROUND(F171*AO171,2)</f>
        <v>0</v>
      </c>
      <c r="AX171" s="30">
        <f>ROUND(F171*AP171,2)</f>
        <v>0</v>
      </c>
      <c r="AY171" s="33" t="s">
        <v>97</v>
      </c>
      <c r="AZ171" s="33" t="s">
        <v>266</v>
      </c>
      <c r="BA171" s="10" t="s">
        <v>267</v>
      </c>
      <c r="BC171" s="30">
        <f>AW171+AX171</f>
        <v>0</v>
      </c>
      <c r="BD171" s="30">
        <f>G171/(100-BE171)*100</f>
        <v>0</v>
      </c>
      <c r="BE171" s="30">
        <v>0</v>
      </c>
      <c r="BF171" s="30">
        <f>171</f>
        <v>171</v>
      </c>
      <c r="BH171" s="30">
        <f>F171*AO171</f>
        <v>0</v>
      </c>
      <c r="BI171" s="30">
        <f>F171*AP171</f>
        <v>0</v>
      </c>
      <c r="BJ171" s="30">
        <f>F171*G171</f>
        <v>0</v>
      </c>
      <c r="BK171" s="30"/>
      <c r="BL171" s="30">
        <v>18</v>
      </c>
      <c r="BW171" s="30">
        <v>21</v>
      </c>
      <c r="BX171" s="4" t="s">
        <v>415</v>
      </c>
    </row>
    <row r="172" spans="1:76" ht="14.4" x14ac:dyDescent="0.3">
      <c r="A172" s="34"/>
      <c r="C172" s="37" t="s">
        <v>331</v>
      </c>
      <c r="D172" s="37" t="s">
        <v>52</v>
      </c>
      <c r="F172" s="38">
        <v>18</v>
      </c>
      <c r="K172" s="39"/>
    </row>
    <row r="173" spans="1:76" ht="14.4" x14ac:dyDescent="0.3">
      <c r="A173" s="2" t="s">
        <v>416</v>
      </c>
      <c r="B173" s="3" t="s">
        <v>417</v>
      </c>
      <c r="C173" s="70" t="s">
        <v>418</v>
      </c>
      <c r="D173" s="71"/>
      <c r="E173" s="3" t="s">
        <v>180</v>
      </c>
      <c r="F173" s="30">
        <v>18</v>
      </c>
      <c r="G173" s="31">
        <v>0</v>
      </c>
      <c r="H173" s="30">
        <f>ROUND(F173*AO173,2)</f>
        <v>0</v>
      </c>
      <c r="I173" s="30">
        <f>ROUND(F173*AP173,2)</f>
        <v>0</v>
      </c>
      <c r="J173" s="30">
        <f>ROUND(F173*G173,2)</f>
        <v>0</v>
      </c>
      <c r="K173" s="32" t="s">
        <v>292</v>
      </c>
      <c r="Z173" s="30">
        <f>ROUND(IF(AQ173="5",BJ173,0),2)</f>
        <v>0</v>
      </c>
      <c r="AB173" s="30">
        <f>ROUND(IF(AQ173="1",BH173,0),2)</f>
        <v>0</v>
      </c>
      <c r="AC173" s="30">
        <f>ROUND(IF(AQ173="1",BI173,0),2)</f>
        <v>0</v>
      </c>
      <c r="AD173" s="30">
        <f>ROUND(IF(AQ173="7",BH173,0),2)</f>
        <v>0</v>
      </c>
      <c r="AE173" s="30">
        <f>ROUND(IF(AQ173="7",BI173,0),2)</f>
        <v>0</v>
      </c>
      <c r="AF173" s="30">
        <f>ROUND(IF(AQ173="2",BH173,0),2)</f>
        <v>0</v>
      </c>
      <c r="AG173" s="30">
        <f>ROUND(IF(AQ173="2",BI173,0),2)</f>
        <v>0</v>
      </c>
      <c r="AH173" s="30">
        <f>ROUND(IF(AQ173="0",BJ173,0),2)</f>
        <v>0</v>
      </c>
      <c r="AI173" s="10" t="s">
        <v>262</v>
      </c>
      <c r="AJ173" s="30">
        <f>IF(AN173=0,J173,0)</f>
        <v>0</v>
      </c>
      <c r="AK173" s="30">
        <f>IF(AN173=12,J173,0)</f>
        <v>0</v>
      </c>
      <c r="AL173" s="30">
        <f>IF(AN173=21,J173,0)</f>
        <v>0</v>
      </c>
      <c r="AN173" s="30">
        <v>21</v>
      </c>
      <c r="AO173" s="30">
        <f>G173*1</f>
        <v>0</v>
      </c>
      <c r="AP173" s="30">
        <f>G173*(1-1)</f>
        <v>0</v>
      </c>
      <c r="AQ173" s="33" t="s">
        <v>57</v>
      </c>
      <c r="AV173" s="30">
        <f>ROUND(AW173+AX173,2)</f>
        <v>0</v>
      </c>
      <c r="AW173" s="30">
        <f>ROUND(F173*AO173,2)</f>
        <v>0</v>
      </c>
      <c r="AX173" s="30">
        <f>ROUND(F173*AP173,2)</f>
        <v>0</v>
      </c>
      <c r="AY173" s="33" t="s">
        <v>97</v>
      </c>
      <c r="AZ173" s="33" t="s">
        <v>266</v>
      </c>
      <c r="BA173" s="10" t="s">
        <v>267</v>
      </c>
      <c r="BC173" s="30">
        <f>AW173+AX173</f>
        <v>0</v>
      </c>
      <c r="BD173" s="30">
        <f>G173/(100-BE173)*100</f>
        <v>0</v>
      </c>
      <c r="BE173" s="30">
        <v>0</v>
      </c>
      <c r="BF173" s="30">
        <f>173</f>
        <v>173</v>
      </c>
      <c r="BH173" s="30">
        <f>F173*AO173</f>
        <v>0</v>
      </c>
      <c r="BI173" s="30">
        <f>F173*AP173</f>
        <v>0</v>
      </c>
      <c r="BJ173" s="30">
        <f>F173*G173</f>
        <v>0</v>
      </c>
      <c r="BK173" s="30"/>
      <c r="BL173" s="30">
        <v>18</v>
      </c>
      <c r="BW173" s="30">
        <v>21</v>
      </c>
      <c r="BX173" s="4" t="s">
        <v>418</v>
      </c>
    </row>
    <row r="174" spans="1:76" ht="14.4" x14ac:dyDescent="0.3">
      <c r="A174" s="34"/>
      <c r="C174" s="37" t="s">
        <v>419</v>
      </c>
      <c r="D174" s="37" t="s">
        <v>52</v>
      </c>
      <c r="F174" s="38">
        <v>18</v>
      </c>
      <c r="K174" s="39"/>
    </row>
    <row r="175" spans="1:76" ht="14.4" x14ac:dyDescent="0.3">
      <c r="A175" s="2" t="s">
        <v>420</v>
      </c>
      <c r="B175" s="3" t="s">
        <v>421</v>
      </c>
      <c r="C175" s="70" t="s">
        <v>422</v>
      </c>
      <c r="D175" s="71"/>
      <c r="E175" s="3" t="s">
        <v>423</v>
      </c>
      <c r="F175" s="30">
        <v>20.059999999999999</v>
      </c>
      <c r="G175" s="31">
        <v>0</v>
      </c>
      <c r="H175" s="30">
        <f>ROUND(F175*AO175,2)</f>
        <v>0</v>
      </c>
      <c r="I175" s="30">
        <f>ROUND(F175*AP175,2)</f>
        <v>0</v>
      </c>
      <c r="J175" s="30">
        <f>ROUND(F175*G175,2)</f>
        <v>0</v>
      </c>
      <c r="K175" s="32" t="s">
        <v>292</v>
      </c>
      <c r="Z175" s="30">
        <f>ROUND(IF(AQ175="5",BJ175,0),2)</f>
        <v>0</v>
      </c>
      <c r="AB175" s="30">
        <f>ROUND(IF(AQ175="1",BH175,0),2)</f>
        <v>0</v>
      </c>
      <c r="AC175" s="30">
        <f>ROUND(IF(AQ175="1",BI175,0),2)</f>
        <v>0</v>
      </c>
      <c r="AD175" s="30">
        <f>ROUND(IF(AQ175="7",BH175,0),2)</f>
        <v>0</v>
      </c>
      <c r="AE175" s="30">
        <f>ROUND(IF(AQ175="7",BI175,0),2)</f>
        <v>0</v>
      </c>
      <c r="AF175" s="30">
        <f>ROUND(IF(AQ175="2",BH175,0),2)</f>
        <v>0</v>
      </c>
      <c r="AG175" s="30">
        <f>ROUND(IF(AQ175="2",BI175,0),2)</f>
        <v>0</v>
      </c>
      <c r="AH175" s="30">
        <f>ROUND(IF(AQ175="0",BJ175,0),2)</f>
        <v>0</v>
      </c>
      <c r="AI175" s="10" t="s">
        <v>262</v>
      </c>
      <c r="AJ175" s="30">
        <f>IF(AN175=0,J175,0)</f>
        <v>0</v>
      </c>
      <c r="AK175" s="30">
        <f>IF(AN175=12,J175,0)</f>
        <v>0</v>
      </c>
      <c r="AL175" s="30">
        <f>IF(AN175=21,J175,0)</f>
        <v>0</v>
      </c>
      <c r="AN175" s="30">
        <v>21</v>
      </c>
      <c r="AO175" s="30">
        <f>G175*1</f>
        <v>0</v>
      </c>
      <c r="AP175" s="30">
        <f>G175*(1-1)</f>
        <v>0</v>
      </c>
      <c r="AQ175" s="33" t="s">
        <v>57</v>
      </c>
      <c r="AV175" s="30">
        <f>ROUND(AW175+AX175,2)</f>
        <v>0</v>
      </c>
      <c r="AW175" s="30">
        <f>ROUND(F175*AO175,2)</f>
        <v>0</v>
      </c>
      <c r="AX175" s="30">
        <f>ROUND(F175*AP175,2)</f>
        <v>0</v>
      </c>
      <c r="AY175" s="33" t="s">
        <v>97</v>
      </c>
      <c r="AZ175" s="33" t="s">
        <v>266</v>
      </c>
      <c r="BA175" s="10" t="s">
        <v>267</v>
      </c>
      <c r="BC175" s="30">
        <f>AW175+AX175</f>
        <v>0</v>
      </c>
      <c r="BD175" s="30">
        <f>G175/(100-BE175)*100</f>
        <v>0</v>
      </c>
      <c r="BE175" s="30">
        <v>0</v>
      </c>
      <c r="BF175" s="30">
        <f>175</f>
        <v>175</v>
      </c>
      <c r="BH175" s="30">
        <f>F175*AO175</f>
        <v>0</v>
      </c>
      <c r="BI175" s="30">
        <f>F175*AP175</f>
        <v>0</v>
      </c>
      <c r="BJ175" s="30">
        <f>F175*G175</f>
        <v>0</v>
      </c>
      <c r="BK175" s="30"/>
      <c r="BL175" s="30">
        <v>18</v>
      </c>
      <c r="BW175" s="30">
        <v>21</v>
      </c>
      <c r="BX175" s="4" t="s">
        <v>422</v>
      </c>
    </row>
    <row r="176" spans="1:76" ht="14.4" x14ac:dyDescent="0.3">
      <c r="A176" s="34"/>
      <c r="C176" s="37" t="s">
        <v>424</v>
      </c>
      <c r="D176" s="37" t="s">
        <v>353</v>
      </c>
      <c r="F176" s="38">
        <v>6</v>
      </c>
      <c r="K176" s="39"/>
    </row>
    <row r="177" spans="1:76" ht="14.4" x14ac:dyDescent="0.3">
      <c r="A177" s="34"/>
      <c r="C177" s="37" t="s">
        <v>425</v>
      </c>
      <c r="D177" s="37" t="s">
        <v>366</v>
      </c>
      <c r="F177" s="38">
        <v>12.2</v>
      </c>
      <c r="K177" s="39"/>
    </row>
    <row r="178" spans="1:76" ht="14.4" x14ac:dyDescent="0.3">
      <c r="A178" s="34"/>
      <c r="C178" s="37" t="s">
        <v>426</v>
      </c>
      <c r="D178" s="37" t="s">
        <v>427</v>
      </c>
      <c r="F178" s="38">
        <v>1.86</v>
      </c>
      <c r="K178" s="39"/>
    </row>
    <row r="179" spans="1:76" ht="14.4" x14ac:dyDescent="0.3">
      <c r="A179" s="2" t="s">
        <v>428</v>
      </c>
      <c r="B179" s="3" t="s">
        <v>429</v>
      </c>
      <c r="C179" s="70" t="s">
        <v>430</v>
      </c>
      <c r="D179" s="71"/>
      <c r="E179" s="3" t="s">
        <v>72</v>
      </c>
      <c r="F179" s="30">
        <v>470</v>
      </c>
      <c r="G179" s="31">
        <v>0</v>
      </c>
      <c r="H179" s="30">
        <f>ROUND(F179*AO179,2)</f>
        <v>0</v>
      </c>
      <c r="I179" s="30">
        <f>ROUND(F179*AP179,2)</f>
        <v>0</v>
      </c>
      <c r="J179" s="30">
        <f>ROUND(F179*G179,2)</f>
        <v>0</v>
      </c>
      <c r="K179" s="32" t="s">
        <v>73</v>
      </c>
      <c r="Z179" s="30">
        <f>ROUND(IF(AQ179="5",BJ179,0),2)</f>
        <v>0</v>
      </c>
      <c r="AB179" s="30">
        <f>ROUND(IF(AQ179="1",BH179,0),2)</f>
        <v>0</v>
      </c>
      <c r="AC179" s="30">
        <f>ROUND(IF(AQ179="1",BI179,0),2)</f>
        <v>0</v>
      </c>
      <c r="AD179" s="30">
        <f>ROUND(IF(AQ179="7",BH179,0),2)</f>
        <v>0</v>
      </c>
      <c r="AE179" s="30">
        <f>ROUND(IF(AQ179="7",BI179,0),2)</f>
        <v>0</v>
      </c>
      <c r="AF179" s="30">
        <f>ROUND(IF(AQ179="2",BH179,0),2)</f>
        <v>0</v>
      </c>
      <c r="AG179" s="30">
        <f>ROUND(IF(AQ179="2",BI179,0),2)</f>
        <v>0</v>
      </c>
      <c r="AH179" s="30">
        <f>ROUND(IF(AQ179="0",BJ179,0),2)</f>
        <v>0</v>
      </c>
      <c r="AI179" s="10" t="s">
        <v>262</v>
      </c>
      <c r="AJ179" s="30">
        <f>IF(AN179=0,J179,0)</f>
        <v>0</v>
      </c>
      <c r="AK179" s="30">
        <f>IF(AN179=12,J179,0)</f>
        <v>0</v>
      </c>
      <c r="AL179" s="30">
        <f>IF(AN179=21,J179,0)</f>
        <v>0</v>
      </c>
      <c r="AN179" s="30">
        <v>21</v>
      </c>
      <c r="AO179" s="30">
        <f>G179*0.178571429</f>
        <v>0</v>
      </c>
      <c r="AP179" s="30">
        <f>G179*(1-0.178571429)</f>
        <v>0</v>
      </c>
      <c r="AQ179" s="33" t="s">
        <v>57</v>
      </c>
      <c r="AV179" s="30">
        <f>ROUND(AW179+AX179,2)</f>
        <v>0</v>
      </c>
      <c r="AW179" s="30">
        <f>ROUND(F179*AO179,2)</f>
        <v>0</v>
      </c>
      <c r="AX179" s="30">
        <f>ROUND(F179*AP179,2)</f>
        <v>0</v>
      </c>
      <c r="AY179" s="33" t="s">
        <v>97</v>
      </c>
      <c r="AZ179" s="33" t="s">
        <v>266</v>
      </c>
      <c r="BA179" s="10" t="s">
        <v>267</v>
      </c>
      <c r="BC179" s="30">
        <f>AW179+AX179</f>
        <v>0</v>
      </c>
      <c r="BD179" s="30">
        <f>G179/(100-BE179)*100</f>
        <v>0</v>
      </c>
      <c r="BE179" s="30">
        <v>0</v>
      </c>
      <c r="BF179" s="30">
        <f>179</f>
        <v>179</v>
      </c>
      <c r="BH179" s="30">
        <f>F179*AO179</f>
        <v>0</v>
      </c>
      <c r="BI179" s="30">
        <f>F179*AP179</f>
        <v>0</v>
      </c>
      <c r="BJ179" s="30">
        <f>F179*G179</f>
        <v>0</v>
      </c>
      <c r="BK179" s="30"/>
      <c r="BL179" s="30">
        <v>18</v>
      </c>
      <c r="BW179" s="30">
        <v>21</v>
      </c>
      <c r="BX179" s="4" t="s">
        <v>430</v>
      </c>
    </row>
    <row r="180" spans="1:76" ht="39.6" x14ac:dyDescent="0.3">
      <c r="A180" s="34"/>
      <c r="B180" s="35" t="s">
        <v>77</v>
      </c>
      <c r="C180" s="80" t="s">
        <v>431</v>
      </c>
      <c r="D180" s="81"/>
      <c r="E180" s="81"/>
      <c r="F180" s="81"/>
      <c r="G180" s="82"/>
      <c r="H180" s="81"/>
      <c r="I180" s="81"/>
      <c r="J180" s="81"/>
      <c r="K180" s="83"/>
      <c r="BX180" s="36" t="s">
        <v>431</v>
      </c>
    </row>
    <row r="181" spans="1:76" ht="14.4" x14ac:dyDescent="0.3">
      <c r="A181" s="25" t="s">
        <v>52</v>
      </c>
      <c r="B181" s="26" t="s">
        <v>432</v>
      </c>
      <c r="C181" s="72" t="s">
        <v>433</v>
      </c>
      <c r="D181" s="73"/>
      <c r="E181" s="27" t="s">
        <v>4</v>
      </c>
      <c r="F181" s="27" t="s">
        <v>4</v>
      </c>
      <c r="G181" s="28" t="s">
        <v>4</v>
      </c>
      <c r="H181" s="1">
        <f>SUM(H182:H188)</f>
        <v>0</v>
      </c>
      <c r="I181" s="1">
        <f>SUM(I182:I188)</f>
        <v>0</v>
      </c>
      <c r="J181" s="1">
        <f>SUM(J182:J188)</f>
        <v>0</v>
      </c>
      <c r="K181" s="29" t="s">
        <v>52</v>
      </c>
      <c r="AI181" s="10" t="s">
        <v>262</v>
      </c>
      <c r="AS181" s="1">
        <f>SUM(AJ182:AJ188)</f>
        <v>0</v>
      </c>
      <c r="AT181" s="1">
        <f>SUM(AK182:AK188)</f>
        <v>0</v>
      </c>
      <c r="AU181" s="1">
        <f>SUM(AL182:AL188)</f>
        <v>0</v>
      </c>
    </row>
    <row r="182" spans="1:76" ht="14.4" x14ac:dyDescent="0.3">
      <c r="A182" s="2" t="s">
        <v>434</v>
      </c>
      <c r="B182" s="3" t="s">
        <v>435</v>
      </c>
      <c r="C182" s="70" t="s">
        <v>436</v>
      </c>
      <c r="D182" s="71"/>
      <c r="E182" s="3" t="s">
        <v>72</v>
      </c>
      <c r="F182" s="30">
        <v>2.25</v>
      </c>
      <c r="G182" s="31">
        <v>0</v>
      </c>
      <c r="H182" s="30">
        <f>ROUND(F182*AO182,2)</f>
        <v>0</v>
      </c>
      <c r="I182" s="30">
        <f>ROUND(F182*AP182,2)</f>
        <v>0</v>
      </c>
      <c r="J182" s="30">
        <f>ROUND(F182*G182,2)</f>
        <v>0</v>
      </c>
      <c r="K182" s="32" t="s">
        <v>73</v>
      </c>
      <c r="Z182" s="30">
        <f>ROUND(IF(AQ182="5",BJ182,0),2)</f>
        <v>0</v>
      </c>
      <c r="AB182" s="30">
        <f>ROUND(IF(AQ182="1",BH182,0),2)</f>
        <v>0</v>
      </c>
      <c r="AC182" s="30">
        <f>ROUND(IF(AQ182="1",BI182,0),2)</f>
        <v>0</v>
      </c>
      <c r="AD182" s="30">
        <f>ROUND(IF(AQ182="7",BH182,0),2)</f>
        <v>0</v>
      </c>
      <c r="AE182" s="30">
        <f>ROUND(IF(AQ182="7",BI182,0),2)</f>
        <v>0</v>
      </c>
      <c r="AF182" s="30">
        <f>ROUND(IF(AQ182="2",BH182,0),2)</f>
        <v>0</v>
      </c>
      <c r="AG182" s="30">
        <f>ROUND(IF(AQ182="2",BI182,0),2)</f>
        <v>0</v>
      </c>
      <c r="AH182" s="30">
        <f>ROUND(IF(AQ182="0",BJ182,0),2)</f>
        <v>0</v>
      </c>
      <c r="AI182" s="10" t="s">
        <v>262</v>
      </c>
      <c r="AJ182" s="30">
        <f>IF(AN182=0,J182,0)</f>
        <v>0</v>
      </c>
      <c r="AK182" s="30">
        <f>IF(AN182=12,J182,0)</f>
        <v>0</v>
      </c>
      <c r="AL182" s="30">
        <f>IF(AN182=21,J182,0)</f>
        <v>0</v>
      </c>
      <c r="AN182" s="30">
        <v>21</v>
      </c>
      <c r="AO182" s="30">
        <f>G182*0</f>
        <v>0</v>
      </c>
      <c r="AP182" s="30">
        <f>G182*(1-0)</f>
        <v>0</v>
      </c>
      <c r="AQ182" s="33" t="s">
        <v>102</v>
      </c>
      <c r="AV182" s="30">
        <f>ROUND(AW182+AX182,2)</f>
        <v>0</v>
      </c>
      <c r="AW182" s="30">
        <f>ROUND(F182*AO182,2)</f>
        <v>0</v>
      </c>
      <c r="AX182" s="30">
        <f>ROUND(F182*AP182,2)</f>
        <v>0</v>
      </c>
      <c r="AY182" s="33" t="s">
        <v>437</v>
      </c>
      <c r="AZ182" s="33" t="s">
        <v>438</v>
      </c>
      <c r="BA182" s="10" t="s">
        <v>267</v>
      </c>
      <c r="BC182" s="30">
        <f>AW182+AX182</f>
        <v>0</v>
      </c>
      <c r="BD182" s="30">
        <f>G182/(100-BE182)*100</f>
        <v>0</v>
      </c>
      <c r="BE182" s="30">
        <v>0</v>
      </c>
      <c r="BF182" s="30">
        <f>182</f>
        <v>182</v>
      </c>
      <c r="BH182" s="30">
        <f>F182*AO182</f>
        <v>0</v>
      </c>
      <c r="BI182" s="30">
        <f>F182*AP182</f>
        <v>0</v>
      </c>
      <c r="BJ182" s="30">
        <f>F182*G182</f>
        <v>0</v>
      </c>
      <c r="BK182" s="30"/>
      <c r="BL182" s="30">
        <v>711</v>
      </c>
      <c r="BW182" s="30">
        <v>21</v>
      </c>
      <c r="BX182" s="4" t="s">
        <v>436</v>
      </c>
    </row>
    <row r="183" spans="1:76" ht="13.5" customHeight="1" x14ac:dyDescent="0.3">
      <c r="A183" s="34"/>
      <c r="B183" s="35" t="s">
        <v>65</v>
      </c>
      <c r="C183" s="76" t="s">
        <v>439</v>
      </c>
      <c r="D183" s="77"/>
      <c r="E183" s="77"/>
      <c r="F183" s="77"/>
      <c r="G183" s="78"/>
      <c r="H183" s="77"/>
      <c r="I183" s="77"/>
      <c r="J183" s="77"/>
      <c r="K183" s="79"/>
    </row>
    <row r="184" spans="1:76" ht="14.4" x14ac:dyDescent="0.3">
      <c r="A184" s="34"/>
      <c r="C184" s="37" t="s">
        <v>440</v>
      </c>
      <c r="D184" s="37" t="s">
        <v>52</v>
      </c>
      <c r="F184" s="38">
        <v>2.25</v>
      </c>
      <c r="K184" s="39"/>
    </row>
    <row r="185" spans="1:76" ht="14.4" x14ac:dyDescent="0.3">
      <c r="A185" s="2" t="s">
        <v>441</v>
      </c>
      <c r="B185" s="3" t="s">
        <v>442</v>
      </c>
      <c r="C185" s="70" t="s">
        <v>443</v>
      </c>
      <c r="D185" s="71"/>
      <c r="E185" s="3" t="s">
        <v>187</v>
      </c>
      <c r="F185" s="30">
        <v>6</v>
      </c>
      <c r="G185" s="31">
        <v>0</v>
      </c>
      <c r="H185" s="30">
        <f>ROUND(F185*AO185,2)</f>
        <v>0</v>
      </c>
      <c r="I185" s="30">
        <f>ROUND(F185*AP185,2)</f>
        <v>0</v>
      </c>
      <c r="J185" s="30">
        <f>ROUND(F185*G185,2)</f>
        <v>0</v>
      </c>
      <c r="K185" s="32" t="s">
        <v>292</v>
      </c>
      <c r="Z185" s="30">
        <f>ROUND(IF(AQ185="5",BJ185,0),2)</f>
        <v>0</v>
      </c>
      <c r="AB185" s="30">
        <f>ROUND(IF(AQ185="1",BH185,0),2)</f>
        <v>0</v>
      </c>
      <c r="AC185" s="30">
        <f>ROUND(IF(AQ185="1",BI185,0),2)</f>
        <v>0</v>
      </c>
      <c r="AD185" s="30">
        <f>ROUND(IF(AQ185="7",BH185,0),2)</f>
        <v>0</v>
      </c>
      <c r="AE185" s="30">
        <f>ROUND(IF(AQ185="7",BI185,0),2)</f>
        <v>0</v>
      </c>
      <c r="AF185" s="30">
        <f>ROUND(IF(AQ185="2",BH185,0),2)</f>
        <v>0</v>
      </c>
      <c r="AG185" s="30">
        <f>ROUND(IF(AQ185="2",BI185,0),2)</f>
        <v>0</v>
      </c>
      <c r="AH185" s="30">
        <f>ROUND(IF(AQ185="0",BJ185,0),2)</f>
        <v>0</v>
      </c>
      <c r="AI185" s="10" t="s">
        <v>262</v>
      </c>
      <c r="AJ185" s="30">
        <f>IF(AN185=0,J185,0)</f>
        <v>0</v>
      </c>
      <c r="AK185" s="30">
        <f>IF(AN185=12,J185,0)</f>
        <v>0</v>
      </c>
      <c r="AL185" s="30">
        <f>IF(AN185=21,J185,0)</f>
        <v>0</v>
      </c>
      <c r="AN185" s="30">
        <v>21</v>
      </c>
      <c r="AO185" s="30">
        <f>G185*1</f>
        <v>0</v>
      </c>
      <c r="AP185" s="30">
        <f>G185*(1-1)</f>
        <v>0</v>
      </c>
      <c r="AQ185" s="33" t="s">
        <v>102</v>
      </c>
      <c r="AV185" s="30">
        <f>ROUND(AW185+AX185,2)</f>
        <v>0</v>
      </c>
      <c r="AW185" s="30">
        <f>ROUND(F185*AO185,2)</f>
        <v>0</v>
      </c>
      <c r="AX185" s="30">
        <f>ROUND(F185*AP185,2)</f>
        <v>0</v>
      </c>
      <c r="AY185" s="33" t="s">
        <v>437</v>
      </c>
      <c r="AZ185" s="33" t="s">
        <v>438</v>
      </c>
      <c r="BA185" s="10" t="s">
        <v>267</v>
      </c>
      <c r="BC185" s="30">
        <f>AW185+AX185</f>
        <v>0</v>
      </c>
      <c r="BD185" s="30">
        <f>G185/(100-BE185)*100</f>
        <v>0</v>
      </c>
      <c r="BE185" s="30">
        <v>0</v>
      </c>
      <c r="BF185" s="30">
        <f>185</f>
        <v>185</v>
      </c>
      <c r="BH185" s="30">
        <f>F185*AO185</f>
        <v>0</v>
      </c>
      <c r="BI185" s="30">
        <f>F185*AP185</f>
        <v>0</v>
      </c>
      <c r="BJ185" s="30">
        <f>F185*G185</f>
        <v>0</v>
      </c>
      <c r="BK185" s="30"/>
      <c r="BL185" s="30">
        <v>711</v>
      </c>
      <c r="BW185" s="30">
        <v>21</v>
      </c>
      <c r="BX185" s="4" t="s">
        <v>443</v>
      </c>
    </row>
    <row r="186" spans="1:76" ht="14.4" x14ac:dyDescent="0.3">
      <c r="A186" s="2" t="s">
        <v>444</v>
      </c>
      <c r="B186" s="3" t="s">
        <v>445</v>
      </c>
      <c r="C186" s="70" t="s">
        <v>446</v>
      </c>
      <c r="D186" s="71"/>
      <c r="E186" s="3" t="s">
        <v>168</v>
      </c>
      <c r="F186" s="30">
        <v>9</v>
      </c>
      <c r="G186" s="31">
        <v>0</v>
      </c>
      <c r="H186" s="30">
        <f>ROUND(F186*AO186,2)</f>
        <v>0</v>
      </c>
      <c r="I186" s="30">
        <f>ROUND(F186*AP186,2)</f>
        <v>0</v>
      </c>
      <c r="J186" s="30">
        <f>ROUND(F186*G186,2)</f>
        <v>0</v>
      </c>
      <c r="K186" s="32" t="s">
        <v>292</v>
      </c>
      <c r="Z186" s="30">
        <f>ROUND(IF(AQ186="5",BJ186,0),2)</f>
        <v>0</v>
      </c>
      <c r="AB186" s="30">
        <f>ROUND(IF(AQ186="1",BH186,0),2)</f>
        <v>0</v>
      </c>
      <c r="AC186" s="30">
        <f>ROUND(IF(AQ186="1",BI186,0),2)</f>
        <v>0</v>
      </c>
      <c r="AD186" s="30">
        <f>ROUND(IF(AQ186="7",BH186,0),2)</f>
        <v>0</v>
      </c>
      <c r="AE186" s="30">
        <f>ROUND(IF(AQ186="7",BI186,0),2)</f>
        <v>0</v>
      </c>
      <c r="AF186" s="30">
        <f>ROUND(IF(AQ186="2",BH186,0),2)</f>
        <v>0</v>
      </c>
      <c r="AG186" s="30">
        <f>ROUND(IF(AQ186="2",BI186,0),2)</f>
        <v>0</v>
      </c>
      <c r="AH186" s="30">
        <f>ROUND(IF(AQ186="0",BJ186,0),2)</f>
        <v>0</v>
      </c>
      <c r="AI186" s="10" t="s">
        <v>262</v>
      </c>
      <c r="AJ186" s="30">
        <f>IF(AN186=0,J186,0)</f>
        <v>0</v>
      </c>
      <c r="AK186" s="30">
        <f>IF(AN186=12,J186,0)</f>
        <v>0</v>
      </c>
      <c r="AL186" s="30">
        <f>IF(AN186=21,J186,0)</f>
        <v>0</v>
      </c>
      <c r="AN186" s="30">
        <v>21</v>
      </c>
      <c r="AO186" s="30">
        <f>G186*1</f>
        <v>0</v>
      </c>
      <c r="AP186" s="30">
        <f>G186*(1-1)</f>
        <v>0</v>
      </c>
      <c r="AQ186" s="33" t="s">
        <v>102</v>
      </c>
      <c r="AV186" s="30">
        <f>ROUND(AW186+AX186,2)</f>
        <v>0</v>
      </c>
      <c r="AW186" s="30">
        <f>ROUND(F186*AO186,2)</f>
        <v>0</v>
      </c>
      <c r="AX186" s="30">
        <f>ROUND(F186*AP186,2)</f>
        <v>0</v>
      </c>
      <c r="AY186" s="33" t="s">
        <v>437</v>
      </c>
      <c r="AZ186" s="33" t="s">
        <v>438</v>
      </c>
      <c r="BA186" s="10" t="s">
        <v>267</v>
      </c>
      <c r="BC186" s="30">
        <f>AW186+AX186</f>
        <v>0</v>
      </c>
      <c r="BD186" s="30">
        <f>G186/(100-BE186)*100</f>
        <v>0</v>
      </c>
      <c r="BE186" s="30">
        <v>0</v>
      </c>
      <c r="BF186" s="30">
        <f>186</f>
        <v>186</v>
      </c>
      <c r="BH186" s="30">
        <f>F186*AO186</f>
        <v>0</v>
      </c>
      <c r="BI186" s="30">
        <f>F186*AP186</f>
        <v>0</v>
      </c>
      <c r="BJ186" s="30">
        <f>F186*G186</f>
        <v>0</v>
      </c>
      <c r="BK186" s="30"/>
      <c r="BL186" s="30">
        <v>711</v>
      </c>
      <c r="BW186" s="30">
        <v>21</v>
      </c>
      <c r="BX186" s="4" t="s">
        <v>446</v>
      </c>
    </row>
    <row r="187" spans="1:76" ht="14.4" x14ac:dyDescent="0.3">
      <c r="A187" s="34"/>
      <c r="C187" s="37" t="s">
        <v>447</v>
      </c>
      <c r="D187" s="37" t="s">
        <v>52</v>
      </c>
      <c r="F187" s="38">
        <v>9</v>
      </c>
      <c r="K187" s="39"/>
    </row>
    <row r="188" spans="1:76" ht="14.4" x14ac:dyDescent="0.3">
      <c r="A188" s="2" t="s">
        <v>448</v>
      </c>
      <c r="B188" s="3" t="s">
        <v>449</v>
      </c>
      <c r="C188" s="70" t="s">
        <v>450</v>
      </c>
      <c r="D188" s="71"/>
      <c r="E188" s="3" t="s">
        <v>163</v>
      </c>
      <c r="F188" s="30">
        <v>47.52</v>
      </c>
      <c r="G188" s="31">
        <v>0</v>
      </c>
      <c r="H188" s="30">
        <f>ROUND(F188*AO188,2)</f>
        <v>0</v>
      </c>
      <c r="I188" s="30">
        <f>ROUND(F188*AP188,2)</f>
        <v>0</v>
      </c>
      <c r="J188" s="30">
        <f>ROUND(F188*G188,2)</f>
        <v>0</v>
      </c>
      <c r="K188" s="32" t="s">
        <v>73</v>
      </c>
      <c r="Z188" s="30">
        <f>ROUND(IF(AQ188="5",BJ188,0),2)</f>
        <v>0</v>
      </c>
      <c r="AB188" s="30">
        <f>ROUND(IF(AQ188="1",BH188,0),2)</f>
        <v>0</v>
      </c>
      <c r="AC188" s="30">
        <f>ROUND(IF(AQ188="1",BI188,0),2)</f>
        <v>0</v>
      </c>
      <c r="AD188" s="30">
        <f>ROUND(IF(AQ188="7",BH188,0),2)</f>
        <v>0</v>
      </c>
      <c r="AE188" s="30">
        <f>ROUND(IF(AQ188="7",BI188,0),2)</f>
        <v>0</v>
      </c>
      <c r="AF188" s="30">
        <f>ROUND(IF(AQ188="2",BH188,0),2)</f>
        <v>0</v>
      </c>
      <c r="AG188" s="30">
        <f>ROUND(IF(AQ188="2",BI188,0),2)</f>
        <v>0</v>
      </c>
      <c r="AH188" s="30">
        <f>ROUND(IF(AQ188="0",BJ188,0),2)</f>
        <v>0</v>
      </c>
      <c r="AI188" s="10" t="s">
        <v>262</v>
      </c>
      <c r="AJ188" s="30">
        <f>IF(AN188=0,J188,0)</f>
        <v>0</v>
      </c>
      <c r="AK188" s="30">
        <f>IF(AN188=12,J188,0)</f>
        <v>0</v>
      </c>
      <c r="AL188" s="30">
        <f>IF(AN188=21,J188,0)</f>
        <v>0</v>
      </c>
      <c r="AN188" s="30">
        <v>21</v>
      </c>
      <c r="AO188" s="30">
        <f>G188*0</f>
        <v>0</v>
      </c>
      <c r="AP188" s="30">
        <f>G188*(1-0)</f>
        <v>0</v>
      </c>
      <c r="AQ188" s="33" t="s">
        <v>94</v>
      </c>
      <c r="AV188" s="30">
        <f>ROUND(AW188+AX188,2)</f>
        <v>0</v>
      </c>
      <c r="AW188" s="30">
        <f>ROUND(F188*AO188,2)</f>
        <v>0</v>
      </c>
      <c r="AX188" s="30">
        <f>ROUND(F188*AP188,2)</f>
        <v>0</v>
      </c>
      <c r="AY188" s="33" t="s">
        <v>437</v>
      </c>
      <c r="AZ188" s="33" t="s">
        <v>438</v>
      </c>
      <c r="BA188" s="10" t="s">
        <v>267</v>
      </c>
      <c r="BC188" s="30">
        <f>AW188+AX188</f>
        <v>0</v>
      </c>
      <c r="BD188" s="30">
        <f>G188/(100-BE188)*100</f>
        <v>0</v>
      </c>
      <c r="BE188" s="30">
        <v>0</v>
      </c>
      <c r="BF188" s="30">
        <f>188</f>
        <v>188</v>
      </c>
      <c r="BH188" s="30">
        <f>F188*AO188</f>
        <v>0</v>
      </c>
      <c r="BI188" s="30">
        <f>F188*AP188</f>
        <v>0</v>
      </c>
      <c r="BJ188" s="30">
        <f>F188*G188</f>
        <v>0</v>
      </c>
      <c r="BK188" s="30"/>
      <c r="BL188" s="30">
        <v>711</v>
      </c>
      <c r="BW188" s="30">
        <v>21</v>
      </c>
      <c r="BX188" s="4" t="s">
        <v>450</v>
      </c>
    </row>
    <row r="189" spans="1:76" ht="14.4" x14ac:dyDescent="0.3">
      <c r="A189" s="25" t="s">
        <v>52</v>
      </c>
      <c r="B189" s="26" t="s">
        <v>52</v>
      </c>
      <c r="C189" s="72" t="s">
        <v>451</v>
      </c>
      <c r="D189" s="73"/>
      <c r="E189" s="27" t="s">
        <v>4</v>
      </c>
      <c r="F189" s="27" t="s">
        <v>4</v>
      </c>
      <c r="G189" s="28" t="s">
        <v>4</v>
      </c>
      <c r="H189" s="1">
        <f>H191+H196+H198</f>
        <v>0</v>
      </c>
      <c r="I189" s="1">
        <f>I191+I196+I198</f>
        <v>0</v>
      </c>
      <c r="J189" s="1">
        <f>J191+J196+J198</f>
        <v>0</v>
      </c>
      <c r="K189" s="29" t="s">
        <v>52</v>
      </c>
    </row>
    <row r="190" spans="1:76" ht="14.4" x14ac:dyDescent="0.3">
      <c r="A190" s="25" t="s">
        <v>52</v>
      </c>
      <c r="B190" s="26" t="s">
        <v>452</v>
      </c>
      <c r="C190" s="72" t="s">
        <v>453</v>
      </c>
      <c r="D190" s="73"/>
      <c r="E190" s="27" t="s">
        <v>4</v>
      </c>
      <c r="F190" s="27" t="s">
        <v>4</v>
      </c>
      <c r="G190" s="28" t="s">
        <v>4</v>
      </c>
      <c r="H190" s="1">
        <f>H191+H196+H198</f>
        <v>0</v>
      </c>
      <c r="I190" s="1">
        <f>I191+I196+I198</f>
        <v>0</v>
      </c>
      <c r="J190" s="1">
        <f>J191+J196+J198</f>
        <v>0</v>
      </c>
      <c r="K190" s="29" t="s">
        <v>52</v>
      </c>
      <c r="AI190" s="10" t="s">
        <v>452</v>
      </c>
    </row>
    <row r="191" spans="1:76" ht="14.4" x14ac:dyDescent="0.3">
      <c r="A191" s="25" t="s">
        <v>52</v>
      </c>
      <c r="B191" s="26" t="s">
        <v>454</v>
      </c>
      <c r="C191" s="72" t="s">
        <v>455</v>
      </c>
      <c r="D191" s="73"/>
      <c r="E191" s="27" t="s">
        <v>4</v>
      </c>
      <c r="F191" s="27" t="s">
        <v>4</v>
      </c>
      <c r="G191" s="28" t="s">
        <v>4</v>
      </c>
      <c r="H191" s="1">
        <f>SUM(H192:H195)</f>
        <v>0</v>
      </c>
      <c r="I191" s="1">
        <f>SUM(I192:I195)</f>
        <v>0</v>
      </c>
      <c r="J191" s="1">
        <f>SUM(J192:J195)</f>
        <v>0</v>
      </c>
      <c r="K191" s="29" t="s">
        <v>52</v>
      </c>
      <c r="AI191" s="10" t="s">
        <v>452</v>
      </c>
      <c r="AS191" s="1">
        <f>SUM(AJ192:AJ195)</f>
        <v>0</v>
      </c>
      <c r="AT191" s="1">
        <f>SUM(AK192:AK195)</f>
        <v>0</v>
      </c>
      <c r="AU191" s="1">
        <f>SUM(AL192:AL195)</f>
        <v>0</v>
      </c>
    </row>
    <row r="192" spans="1:76" ht="14.4" x14ac:dyDescent="0.3">
      <c r="A192" s="2" t="s">
        <v>456</v>
      </c>
      <c r="B192" s="3" t="s">
        <v>457</v>
      </c>
      <c r="C192" s="70" t="s">
        <v>458</v>
      </c>
      <c r="D192" s="71"/>
      <c r="E192" s="3" t="s">
        <v>459</v>
      </c>
      <c r="F192" s="30">
        <v>1</v>
      </c>
      <c r="G192" s="31">
        <v>0</v>
      </c>
      <c r="H192" s="30">
        <f>ROUND(F192*AO192,2)</f>
        <v>0</v>
      </c>
      <c r="I192" s="30">
        <f>ROUND(F192*AP192,2)</f>
        <v>0</v>
      </c>
      <c r="J192" s="30">
        <f>ROUND(F192*G192,2)</f>
        <v>0</v>
      </c>
      <c r="K192" s="32" t="s">
        <v>73</v>
      </c>
      <c r="Z192" s="30">
        <f>ROUND(IF(AQ192="5",BJ192,0),2)</f>
        <v>0</v>
      </c>
      <c r="AB192" s="30">
        <f>ROUND(IF(AQ192="1",BH192,0),2)</f>
        <v>0</v>
      </c>
      <c r="AC192" s="30">
        <f>ROUND(IF(AQ192="1",BI192,0),2)</f>
        <v>0</v>
      </c>
      <c r="AD192" s="30">
        <f>ROUND(IF(AQ192="7",BH192,0),2)</f>
        <v>0</v>
      </c>
      <c r="AE192" s="30">
        <f>ROUND(IF(AQ192="7",BI192,0),2)</f>
        <v>0</v>
      </c>
      <c r="AF192" s="30">
        <f>ROUND(IF(AQ192="2",BH192,0),2)</f>
        <v>0</v>
      </c>
      <c r="AG192" s="30">
        <f>ROUND(IF(AQ192="2",BI192,0),2)</f>
        <v>0</v>
      </c>
      <c r="AH192" s="30">
        <f>ROUND(IF(AQ192="0",BJ192,0),2)</f>
        <v>0</v>
      </c>
      <c r="AI192" s="10" t="s">
        <v>452</v>
      </c>
      <c r="AJ192" s="30">
        <f>IF(AN192=0,J192,0)</f>
        <v>0</v>
      </c>
      <c r="AK192" s="30">
        <f>IF(AN192=12,J192,0)</f>
        <v>0</v>
      </c>
      <c r="AL192" s="30">
        <f>IF(AN192=21,J192,0)</f>
        <v>0</v>
      </c>
      <c r="AN192" s="30">
        <v>21</v>
      </c>
      <c r="AO192" s="30">
        <f>G192*0</f>
        <v>0</v>
      </c>
      <c r="AP192" s="30">
        <f>G192*(1-0)</f>
        <v>0</v>
      </c>
      <c r="AQ192" s="33" t="s">
        <v>460</v>
      </c>
      <c r="AV192" s="30">
        <f>ROUND(AW192+AX192,2)</f>
        <v>0</v>
      </c>
      <c r="AW192" s="30">
        <f>ROUND(F192*AO192,2)</f>
        <v>0</v>
      </c>
      <c r="AX192" s="30">
        <f>ROUND(F192*AP192,2)</f>
        <v>0</v>
      </c>
      <c r="AY192" s="33" t="s">
        <v>461</v>
      </c>
      <c r="AZ192" s="33" t="s">
        <v>462</v>
      </c>
      <c r="BA192" s="10" t="s">
        <v>463</v>
      </c>
      <c r="BC192" s="30">
        <f>AW192+AX192</f>
        <v>0</v>
      </c>
      <c r="BD192" s="30">
        <f>G192/(100-BE192)*100</f>
        <v>0</v>
      </c>
      <c r="BE192" s="30">
        <v>0</v>
      </c>
      <c r="BF192" s="30">
        <f>192</f>
        <v>192</v>
      </c>
      <c r="BH192" s="30">
        <f>F192*AO192</f>
        <v>0</v>
      </c>
      <c r="BI192" s="30">
        <f>F192*AP192</f>
        <v>0</v>
      </c>
      <c r="BJ192" s="30">
        <f>F192*G192</f>
        <v>0</v>
      </c>
      <c r="BK192" s="30"/>
      <c r="BL192" s="30"/>
      <c r="BM192" s="30">
        <f>F192*G192</f>
        <v>0</v>
      </c>
      <c r="BW192" s="30">
        <v>21</v>
      </c>
      <c r="BX192" s="4" t="s">
        <v>458</v>
      </c>
    </row>
    <row r="193" spans="1:76" ht="14.4" x14ac:dyDescent="0.3">
      <c r="A193" s="2" t="s">
        <v>464</v>
      </c>
      <c r="B193" s="3" t="s">
        <v>465</v>
      </c>
      <c r="C193" s="70" t="s">
        <v>466</v>
      </c>
      <c r="D193" s="71"/>
      <c r="E193" s="3" t="s">
        <v>459</v>
      </c>
      <c r="F193" s="30">
        <v>1</v>
      </c>
      <c r="G193" s="31">
        <v>0</v>
      </c>
      <c r="H193" s="30">
        <f>ROUND(F193*AO193,2)</f>
        <v>0</v>
      </c>
      <c r="I193" s="30">
        <f>ROUND(F193*AP193,2)</f>
        <v>0</v>
      </c>
      <c r="J193" s="30">
        <f>ROUND(F193*G193,2)</f>
        <v>0</v>
      </c>
      <c r="K193" s="32" t="s">
        <v>73</v>
      </c>
      <c r="Z193" s="30">
        <f>ROUND(IF(AQ193="5",BJ193,0),2)</f>
        <v>0</v>
      </c>
      <c r="AB193" s="30">
        <f>ROUND(IF(AQ193="1",BH193,0),2)</f>
        <v>0</v>
      </c>
      <c r="AC193" s="30">
        <f>ROUND(IF(AQ193="1",BI193,0),2)</f>
        <v>0</v>
      </c>
      <c r="AD193" s="30">
        <f>ROUND(IF(AQ193="7",BH193,0),2)</f>
        <v>0</v>
      </c>
      <c r="AE193" s="30">
        <f>ROUND(IF(AQ193="7",BI193,0),2)</f>
        <v>0</v>
      </c>
      <c r="AF193" s="30">
        <f>ROUND(IF(AQ193="2",BH193,0),2)</f>
        <v>0</v>
      </c>
      <c r="AG193" s="30">
        <f>ROUND(IF(AQ193="2",BI193,0),2)</f>
        <v>0</v>
      </c>
      <c r="AH193" s="30">
        <f>ROUND(IF(AQ193="0",BJ193,0),2)</f>
        <v>0</v>
      </c>
      <c r="AI193" s="10" t="s">
        <v>452</v>
      </c>
      <c r="AJ193" s="30">
        <f>IF(AN193=0,J193,0)</f>
        <v>0</v>
      </c>
      <c r="AK193" s="30">
        <f>IF(AN193=12,J193,0)</f>
        <v>0</v>
      </c>
      <c r="AL193" s="30">
        <f>IF(AN193=21,J193,0)</f>
        <v>0</v>
      </c>
      <c r="AN193" s="30">
        <v>21</v>
      </c>
      <c r="AO193" s="30">
        <f>G193*0</f>
        <v>0</v>
      </c>
      <c r="AP193" s="30">
        <f>G193*(1-0)</f>
        <v>0</v>
      </c>
      <c r="AQ193" s="33" t="s">
        <v>460</v>
      </c>
      <c r="AV193" s="30">
        <f>ROUND(AW193+AX193,2)</f>
        <v>0</v>
      </c>
      <c r="AW193" s="30">
        <f>ROUND(F193*AO193,2)</f>
        <v>0</v>
      </c>
      <c r="AX193" s="30">
        <f>ROUND(F193*AP193,2)</f>
        <v>0</v>
      </c>
      <c r="AY193" s="33" t="s">
        <v>461</v>
      </c>
      <c r="AZ193" s="33" t="s">
        <v>462</v>
      </c>
      <c r="BA193" s="10" t="s">
        <v>463</v>
      </c>
      <c r="BC193" s="30">
        <f>AW193+AX193</f>
        <v>0</v>
      </c>
      <c r="BD193" s="30">
        <f>G193/(100-BE193)*100</f>
        <v>0</v>
      </c>
      <c r="BE193" s="30">
        <v>0</v>
      </c>
      <c r="BF193" s="30">
        <f>193</f>
        <v>193</v>
      </c>
      <c r="BH193" s="30">
        <f>F193*AO193</f>
        <v>0</v>
      </c>
      <c r="BI193" s="30">
        <f>F193*AP193</f>
        <v>0</v>
      </c>
      <c r="BJ193" s="30">
        <f>F193*G193</f>
        <v>0</v>
      </c>
      <c r="BK193" s="30"/>
      <c r="BL193" s="30"/>
      <c r="BM193" s="30">
        <f>F193*G193</f>
        <v>0</v>
      </c>
      <c r="BW193" s="30">
        <v>21</v>
      </c>
      <c r="BX193" s="4" t="s">
        <v>466</v>
      </c>
    </row>
    <row r="194" spans="1:76" ht="14.4" x14ac:dyDescent="0.3">
      <c r="A194" s="2" t="s">
        <v>467</v>
      </c>
      <c r="B194" s="3" t="s">
        <v>465</v>
      </c>
      <c r="C194" s="70" t="s">
        <v>468</v>
      </c>
      <c r="D194" s="71"/>
      <c r="E194" s="3" t="s">
        <v>459</v>
      </c>
      <c r="F194" s="30">
        <v>1</v>
      </c>
      <c r="G194" s="31">
        <v>0</v>
      </c>
      <c r="H194" s="30">
        <f>ROUND(F194*AO194,2)</f>
        <v>0</v>
      </c>
      <c r="I194" s="30">
        <f>ROUND(F194*AP194,2)</f>
        <v>0</v>
      </c>
      <c r="J194" s="30">
        <f>ROUND(F194*G194,2)</f>
        <v>0</v>
      </c>
      <c r="K194" s="32" t="s">
        <v>73</v>
      </c>
      <c r="Z194" s="30">
        <f>ROUND(IF(AQ194="5",BJ194,0),2)</f>
        <v>0</v>
      </c>
      <c r="AB194" s="30">
        <f>ROUND(IF(AQ194="1",BH194,0),2)</f>
        <v>0</v>
      </c>
      <c r="AC194" s="30">
        <f>ROUND(IF(AQ194="1",BI194,0),2)</f>
        <v>0</v>
      </c>
      <c r="AD194" s="30">
        <f>ROUND(IF(AQ194="7",BH194,0),2)</f>
        <v>0</v>
      </c>
      <c r="AE194" s="30">
        <f>ROUND(IF(AQ194="7",BI194,0),2)</f>
        <v>0</v>
      </c>
      <c r="AF194" s="30">
        <f>ROUND(IF(AQ194="2",BH194,0),2)</f>
        <v>0</v>
      </c>
      <c r="AG194" s="30">
        <f>ROUND(IF(AQ194="2",BI194,0),2)</f>
        <v>0</v>
      </c>
      <c r="AH194" s="30">
        <f>ROUND(IF(AQ194="0",BJ194,0),2)</f>
        <v>0</v>
      </c>
      <c r="AI194" s="10" t="s">
        <v>452</v>
      </c>
      <c r="AJ194" s="30">
        <f>IF(AN194=0,J194,0)</f>
        <v>0</v>
      </c>
      <c r="AK194" s="30">
        <f>IF(AN194=12,J194,0)</f>
        <v>0</v>
      </c>
      <c r="AL194" s="30">
        <f>IF(AN194=21,J194,0)</f>
        <v>0</v>
      </c>
      <c r="AN194" s="30">
        <v>21</v>
      </c>
      <c r="AO194" s="30">
        <f>G194*0</f>
        <v>0</v>
      </c>
      <c r="AP194" s="30">
        <f>G194*(1-0)</f>
        <v>0</v>
      </c>
      <c r="AQ194" s="33" t="s">
        <v>460</v>
      </c>
      <c r="AV194" s="30">
        <f>ROUND(AW194+AX194,2)</f>
        <v>0</v>
      </c>
      <c r="AW194" s="30">
        <f>ROUND(F194*AO194,2)</f>
        <v>0</v>
      </c>
      <c r="AX194" s="30">
        <f>ROUND(F194*AP194,2)</f>
        <v>0</v>
      </c>
      <c r="AY194" s="33" t="s">
        <v>461</v>
      </c>
      <c r="AZ194" s="33" t="s">
        <v>462</v>
      </c>
      <c r="BA194" s="10" t="s">
        <v>463</v>
      </c>
      <c r="BC194" s="30">
        <f>AW194+AX194</f>
        <v>0</v>
      </c>
      <c r="BD194" s="30">
        <f>G194/(100-BE194)*100</f>
        <v>0</v>
      </c>
      <c r="BE194" s="30">
        <v>0</v>
      </c>
      <c r="BF194" s="30">
        <f>194</f>
        <v>194</v>
      </c>
      <c r="BH194" s="30">
        <f>F194*AO194</f>
        <v>0</v>
      </c>
      <c r="BI194" s="30">
        <f>F194*AP194</f>
        <v>0</v>
      </c>
      <c r="BJ194" s="30">
        <f>F194*G194</f>
        <v>0</v>
      </c>
      <c r="BK194" s="30"/>
      <c r="BL194" s="30"/>
      <c r="BM194" s="30">
        <f>F194*G194</f>
        <v>0</v>
      </c>
      <c r="BW194" s="30">
        <v>21</v>
      </c>
      <c r="BX194" s="4" t="s">
        <v>468</v>
      </c>
    </row>
    <row r="195" spans="1:76" ht="14.4" x14ac:dyDescent="0.3">
      <c r="A195" s="2" t="s">
        <v>469</v>
      </c>
      <c r="B195" s="3" t="s">
        <v>465</v>
      </c>
      <c r="C195" s="70" t="s">
        <v>470</v>
      </c>
      <c r="D195" s="71"/>
      <c r="E195" s="3" t="s">
        <v>459</v>
      </c>
      <c r="F195" s="30">
        <v>1</v>
      </c>
      <c r="G195" s="31">
        <v>0</v>
      </c>
      <c r="H195" s="30">
        <f>ROUND(F195*AO195,2)</f>
        <v>0</v>
      </c>
      <c r="I195" s="30">
        <f>ROUND(F195*AP195,2)</f>
        <v>0</v>
      </c>
      <c r="J195" s="30">
        <f>ROUND(F195*G195,2)</f>
        <v>0</v>
      </c>
      <c r="K195" s="32" t="s">
        <v>73</v>
      </c>
      <c r="Z195" s="30">
        <f>ROUND(IF(AQ195="5",BJ195,0),2)</f>
        <v>0</v>
      </c>
      <c r="AB195" s="30">
        <f>ROUND(IF(AQ195="1",BH195,0),2)</f>
        <v>0</v>
      </c>
      <c r="AC195" s="30">
        <f>ROUND(IF(AQ195="1",BI195,0),2)</f>
        <v>0</v>
      </c>
      <c r="AD195" s="30">
        <f>ROUND(IF(AQ195="7",BH195,0),2)</f>
        <v>0</v>
      </c>
      <c r="AE195" s="30">
        <f>ROUND(IF(AQ195="7",BI195,0),2)</f>
        <v>0</v>
      </c>
      <c r="AF195" s="30">
        <f>ROUND(IF(AQ195="2",BH195,0),2)</f>
        <v>0</v>
      </c>
      <c r="AG195" s="30">
        <f>ROUND(IF(AQ195="2",BI195,0),2)</f>
        <v>0</v>
      </c>
      <c r="AH195" s="30">
        <f>ROUND(IF(AQ195="0",BJ195,0),2)</f>
        <v>0</v>
      </c>
      <c r="AI195" s="10" t="s">
        <v>452</v>
      </c>
      <c r="AJ195" s="30">
        <f>IF(AN195=0,J195,0)</f>
        <v>0</v>
      </c>
      <c r="AK195" s="30">
        <f>IF(AN195=12,J195,0)</f>
        <v>0</v>
      </c>
      <c r="AL195" s="30">
        <f>IF(AN195=21,J195,0)</f>
        <v>0</v>
      </c>
      <c r="AN195" s="30">
        <v>21</v>
      </c>
      <c r="AO195" s="30">
        <f>G195*0</f>
        <v>0</v>
      </c>
      <c r="AP195" s="30">
        <f>G195*(1-0)</f>
        <v>0</v>
      </c>
      <c r="AQ195" s="33" t="s">
        <v>460</v>
      </c>
      <c r="AV195" s="30">
        <f>ROUND(AW195+AX195,2)</f>
        <v>0</v>
      </c>
      <c r="AW195" s="30">
        <f>ROUND(F195*AO195,2)</f>
        <v>0</v>
      </c>
      <c r="AX195" s="30">
        <f>ROUND(F195*AP195,2)</f>
        <v>0</v>
      </c>
      <c r="AY195" s="33" t="s">
        <v>461</v>
      </c>
      <c r="AZ195" s="33" t="s">
        <v>462</v>
      </c>
      <c r="BA195" s="10" t="s">
        <v>463</v>
      </c>
      <c r="BC195" s="30">
        <f>AW195+AX195</f>
        <v>0</v>
      </c>
      <c r="BD195" s="30">
        <f>G195/(100-BE195)*100</f>
        <v>0</v>
      </c>
      <c r="BE195" s="30">
        <v>0</v>
      </c>
      <c r="BF195" s="30">
        <f>195</f>
        <v>195</v>
      </c>
      <c r="BH195" s="30">
        <f>F195*AO195</f>
        <v>0</v>
      </c>
      <c r="BI195" s="30">
        <f>F195*AP195</f>
        <v>0</v>
      </c>
      <c r="BJ195" s="30">
        <f>F195*G195</f>
        <v>0</v>
      </c>
      <c r="BK195" s="30"/>
      <c r="BL195" s="30"/>
      <c r="BM195" s="30">
        <f>F195*G195</f>
        <v>0</v>
      </c>
      <c r="BW195" s="30">
        <v>21</v>
      </c>
      <c r="BX195" s="4" t="s">
        <v>470</v>
      </c>
    </row>
    <row r="196" spans="1:76" ht="14.4" x14ac:dyDescent="0.3">
      <c r="A196" s="25" t="s">
        <v>52</v>
      </c>
      <c r="B196" s="26" t="s">
        <v>471</v>
      </c>
      <c r="C196" s="72" t="s">
        <v>472</v>
      </c>
      <c r="D196" s="73"/>
      <c r="E196" s="27" t="s">
        <v>4</v>
      </c>
      <c r="F196" s="27" t="s">
        <v>4</v>
      </c>
      <c r="G196" s="28" t="s">
        <v>4</v>
      </c>
      <c r="H196" s="1">
        <f>SUM(H197:H197)</f>
        <v>0</v>
      </c>
      <c r="I196" s="1">
        <f>SUM(I197:I197)</f>
        <v>0</v>
      </c>
      <c r="J196" s="1">
        <f>SUM(J197:J197)</f>
        <v>0</v>
      </c>
      <c r="K196" s="29" t="s">
        <v>52</v>
      </c>
      <c r="AI196" s="10" t="s">
        <v>452</v>
      </c>
      <c r="AS196" s="1">
        <f>SUM(AJ197:AJ197)</f>
        <v>0</v>
      </c>
      <c r="AT196" s="1">
        <f>SUM(AK197:AK197)</f>
        <v>0</v>
      </c>
      <c r="AU196" s="1">
        <f>SUM(AL197:AL197)</f>
        <v>0</v>
      </c>
    </row>
    <row r="197" spans="1:76" ht="14.4" x14ac:dyDescent="0.3">
      <c r="A197" s="2" t="s">
        <v>473</v>
      </c>
      <c r="B197" s="3" t="s">
        <v>474</v>
      </c>
      <c r="C197" s="70" t="s">
        <v>475</v>
      </c>
      <c r="D197" s="71"/>
      <c r="E197" s="3" t="s">
        <v>459</v>
      </c>
      <c r="F197" s="30">
        <v>1</v>
      </c>
      <c r="G197" s="31">
        <v>0</v>
      </c>
      <c r="H197" s="30">
        <f>ROUND(F197*AO197,2)</f>
        <v>0</v>
      </c>
      <c r="I197" s="30">
        <f>ROUND(F197*AP197,2)</f>
        <v>0</v>
      </c>
      <c r="J197" s="30">
        <f>ROUND(F197*G197,2)</f>
        <v>0</v>
      </c>
      <c r="K197" s="32" t="s">
        <v>73</v>
      </c>
      <c r="Z197" s="30">
        <f>ROUND(IF(AQ197="5",BJ197,0),2)</f>
        <v>0</v>
      </c>
      <c r="AB197" s="30">
        <f>ROUND(IF(AQ197="1",BH197,0),2)</f>
        <v>0</v>
      </c>
      <c r="AC197" s="30">
        <f>ROUND(IF(AQ197="1",BI197,0),2)</f>
        <v>0</v>
      </c>
      <c r="AD197" s="30">
        <f>ROUND(IF(AQ197="7",BH197,0),2)</f>
        <v>0</v>
      </c>
      <c r="AE197" s="30">
        <f>ROUND(IF(AQ197="7",BI197,0),2)</f>
        <v>0</v>
      </c>
      <c r="AF197" s="30">
        <f>ROUND(IF(AQ197="2",BH197,0),2)</f>
        <v>0</v>
      </c>
      <c r="AG197" s="30">
        <f>ROUND(IF(AQ197="2",BI197,0),2)</f>
        <v>0</v>
      </c>
      <c r="AH197" s="30">
        <f>ROUND(IF(AQ197="0",BJ197,0),2)</f>
        <v>0</v>
      </c>
      <c r="AI197" s="10" t="s">
        <v>452</v>
      </c>
      <c r="AJ197" s="30">
        <f>IF(AN197=0,J197,0)</f>
        <v>0</v>
      </c>
      <c r="AK197" s="30">
        <f>IF(AN197=12,J197,0)</f>
        <v>0</v>
      </c>
      <c r="AL197" s="30">
        <f>IF(AN197=21,J197,0)</f>
        <v>0</v>
      </c>
      <c r="AN197" s="30">
        <v>21</v>
      </c>
      <c r="AO197" s="30">
        <f>G197*0</f>
        <v>0</v>
      </c>
      <c r="AP197" s="30">
        <f>G197*(1-0)</f>
        <v>0</v>
      </c>
      <c r="AQ197" s="33" t="s">
        <v>460</v>
      </c>
      <c r="AV197" s="30">
        <f>ROUND(AW197+AX197,2)</f>
        <v>0</v>
      </c>
      <c r="AW197" s="30">
        <f>ROUND(F197*AO197,2)</f>
        <v>0</v>
      </c>
      <c r="AX197" s="30">
        <f>ROUND(F197*AP197,2)</f>
        <v>0</v>
      </c>
      <c r="AY197" s="33" t="s">
        <v>476</v>
      </c>
      <c r="AZ197" s="33" t="s">
        <v>462</v>
      </c>
      <c r="BA197" s="10" t="s">
        <v>463</v>
      </c>
      <c r="BC197" s="30">
        <f>AW197+AX197</f>
        <v>0</v>
      </c>
      <c r="BD197" s="30">
        <f>G197/(100-BE197)*100</f>
        <v>0</v>
      </c>
      <c r="BE197" s="30">
        <v>0</v>
      </c>
      <c r="BF197" s="30">
        <f>197</f>
        <v>197</v>
      </c>
      <c r="BH197" s="30">
        <f>F197*AO197</f>
        <v>0</v>
      </c>
      <c r="BI197" s="30">
        <f>F197*AP197</f>
        <v>0</v>
      </c>
      <c r="BJ197" s="30">
        <f>F197*G197</f>
        <v>0</v>
      </c>
      <c r="BK197" s="30"/>
      <c r="BL197" s="30"/>
      <c r="BO197" s="30">
        <f>F197*G197</f>
        <v>0</v>
      </c>
      <c r="BW197" s="30">
        <v>21</v>
      </c>
      <c r="BX197" s="4" t="s">
        <v>475</v>
      </c>
    </row>
    <row r="198" spans="1:76" ht="14.4" x14ac:dyDescent="0.3">
      <c r="A198" s="25" t="s">
        <v>52</v>
      </c>
      <c r="B198" s="26" t="s">
        <v>477</v>
      </c>
      <c r="C198" s="72" t="s">
        <v>478</v>
      </c>
      <c r="D198" s="73"/>
      <c r="E198" s="27" t="s">
        <v>4</v>
      </c>
      <c r="F198" s="27" t="s">
        <v>4</v>
      </c>
      <c r="G198" s="28" t="s">
        <v>4</v>
      </c>
      <c r="H198" s="1">
        <f>SUM(H199:H199)</f>
        <v>0</v>
      </c>
      <c r="I198" s="1">
        <f>SUM(I199:I199)</f>
        <v>0</v>
      </c>
      <c r="J198" s="1">
        <f>SUM(J199:J199)</f>
        <v>0</v>
      </c>
      <c r="K198" s="29" t="s">
        <v>52</v>
      </c>
      <c r="AI198" s="10" t="s">
        <v>452</v>
      </c>
      <c r="AS198" s="1">
        <f>SUM(AJ199:AJ199)</f>
        <v>0</v>
      </c>
      <c r="AT198" s="1">
        <f>SUM(AK199:AK199)</f>
        <v>0</v>
      </c>
      <c r="AU198" s="1">
        <f>SUM(AL199:AL199)</f>
        <v>0</v>
      </c>
    </row>
    <row r="199" spans="1:76" ht="14.4" x14ac:dyDescent="0.3">
      <c r="A199" s="40" t="s">
        <v>479</v>
      </c>
      <c r="B199" s="41" t="s">
        <v>480</v>
      </c>
      <c r="C199" s="74" t="s">
        <v>481</v>
      </c>
      <c r="D199" s="75"/>
      <c r="E199" s="41" t="s">
        <v>459</v>
      </c>
      <c r="F199" s="42">
        <v>1</v>
      </c>
      <c r="G199" s="43">
        <v>0</v>
      </c>
      <c r="H199" s="42">
        <f>ROUND(F199*AO199,2)</f>
        <v>0</v>
      </c>
      <c r="I199" s="42">
        <f>ROUND(F199*AP199,2)</f>
        <v>0</v>
      </c>
      <c r="J199" s="42">
        <f>ROUND(F199*G199,2)</f>
        <v>0</v>
      </c>
      <c r="K199" s="44" t="s">
        <v>73</v>
      </c>
      <c r="Z199" s="30">
        <f>ROUND(IF(AQ199="5",BJ199,0),2)</f>
        <v>0</v>
      </c>
      <c r="AB199" s="30">
        <f>ROUND(IF(AQ199="1",BH199,0),2)</f>
        <v>0</v>
      </c>
      <c r="AC199" s="30">
        <f>ROUND(IF(AQ199="1",BI199,0),2)</f>
        <v>0</v>
      </c>
      <c r="AD199" s="30">
        <f>ROUND(IF(AQ199="7",BH199,0),2)</f>
        <v>0</v>
      </c>
      <c r="AE199" s="30">
        <f>ROUND(IF(AQ199="7",BI199,0),2)</f>
        <v>0</v>
      </c>
      <c r="AF199" s="30">
        <f>ROUND(IF(AQ199="2",BH199,0),2)</f>
        <v>0</v>
      </c>
      <c r="AG199" s="30">
        <f>ROUND(IF(AQ199="2",BI199,0),2)</f>
        <v>0</v>
      </c>
      <c r="AH199" s="30">
        <f>ROUND(IF(AQ199="0",BJ199,0),2)</f>
        <v>0</v>
      </c>
      <c r="AI199" s="10" t="s">
        <v>452</v>
      </c>
      <c r="AJ199" s="30">
        <f>IF(AN199=0,J199,0)</f>
        <v>0</v>
      </c>
      <c r="AK199" s="30">
        <f>IF(AN199=12,J199,0)</f>
        <v>0</v>
      </c>
      <c r="AL199" s="30">
        <f>IF(AN199=21,J199,0)</f>
        <v>0</v>
      </c>
      <c r="AN199" s="30">
        <v>21</v>
      </c>
      <c r="AO199" s="30">
        <f>G199*0</f>
        <v>0</v>
      </c>
      <c r="AP199" s="30">
        <f>G199*(1-0)</f>
        <v>0</v>
      </c>
      <c r="AQ199" s="33" t="s">
        <v>460</v>
      </c>
      <c r="AV199" s="30">
        <f>ROUND(AW199+AX199,2)</f>
        <v>0</v>
      </c>
      <c r="AW199" s="30">
        <f>ROUND(F199*AO199,2)</f>
        <v>0</v>
      </c>
      <c r="AX199" s="30">
        <f>ROUND(F199*AP199,2)</f>
        <v>0</v>
      </c>
      <c r="AY199" s="33" t="s">
        <v>482</v>
      </c>
      <c r="AZ199" s="33" t="s">
        <v>462</v>
      </c>
      <c r="BA199" s="10" t="s">
        <v>463</v>
      </c>
      <c r="BC199" s="30">
        <f>AW199+AX199</f>
        <v>0</v>
      </c>
      <c r="BD199" s="30">
        <f>G199/(100-BE199)*100</f>
        <v>0</v>
      </c>
      <c r="BE199" s="30">
        <v>0</v>
      </c>
      <c r="BF199" s="30">
        <f>199</f>
        <v>199</v>
      </c>
      <c r="BH199" s="30">
        <f>F199*AO199</f>
        <v>0</v>
      </c>
      <c r="BI199" s="30">
        <f>F199*AP199</f>
        <v>0</v>
      </c>
      <c r="BJ199" s="30">
        <f>F199*G199</f>
        <v>0</v>
      </c>
      <c r="BK199" s="30"/>
      <c r="BL199" s="30"/>
      <c r="BU199" s="30">
        <f>F199*G199</f>
        <v>0</v>
      </c>
      <c r="BW199" s="30">
        <v>21</v>
      </c>
      <c r="BX199" s="4" t="s">
        <v>481</v>
      </c>
    </row>
    <row r="200" spans="1:76" ht="14.4" x14ac:dyDescent="0.3">
      <c r="H200" s="69" t="s">
        <v>483</v>
      </c>
      <c r="I200" s="69"/>
      <c r="J200" s="45">
        <f>ROUND(J13+J16+J20+J26+J33+J36+J38+J45+J51+J60+J63+J71+J83+J88+J98+J101+J181+J191+J196+J198,1)</f>
        <v>0</v>
      </c>
    </row>
    <row r="201" spans="1:76" ht="14.4" x14ac:dyDescent="0.3">
      <c r="A201" s="46" t="s">
        <v>484</v>
      </c>
    </row>
    <row r="202" spans="1:76" ht="12.75" customHeight="1" x14ac:dyDescent="0.3">
      <c r="A202" s="70" t="s">
        <v>52</v>
      </c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</sheetData>
  <mergeCells count="173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20:D20"/>
    <mergeCell ref="C21:D21"/>
    <mergeCell ref="C22:K22"/>
    <mergeCell ref="C23:D23"/>
    <mergeCell ref="C24:K24"/>
    <mergeCell ref="C15:K15"/>
    <mergeCell ref="C16:D16"/>
    <mergeCell ref="C17:D17"/>
    <mergeCell ref="C18:K18"/>
    <mergeCell ref="C19:K19"/>
    <mergeCell ref="C30:K30"/>
    <mergeCell ref="C31:D31"/>
    <mergeCell ref="C32:D32"/>
    <mergeCell ref="C33:D33"/>
    <mergeCell ref="C34:D34"/>
    <mergeCell ref="C25:K25"/>
    <mergeCell ref="C26:D26"/>
    <mergeCell ref="C27:D27"/>
    <mergeCell ref="C28:K28"/>
    <mergeCell ref="C29:D29"/>
    <mergeCell ref="C40:K40"/>
    <mergeCell ref="C41:K41"/>
    <mergeCell ref="C42:D42"/>
    <mergeCell ref="C45:D45"/>
    <mergeCell ref="C46:D46"/>
    <mergeCell ref="C35:K35"/>
    <mergeCell ref="C36:D36"/>
    <mergeCell ref="C37:D37"/>
    <mergeCell ref="C38:D38"/>
    <mergeCell ref="C39:D39"/>
    <mergeCell ref="C52:D52"/>
    <mergeCell ref="C53:K53"/>
    <mergeCell ref="C54:K54"/>
    <mergeCell ref="C55:D55"/>
    <mergeCell ref="C57:K57"/>
    <mergeCell ref="C47:K47"/>
    <mergeCell ref="C48:D48"/>
    <mergeCell ref="C49:D49"/>
    <mergeCell ref="C50:K50"/>
    <mergeCell ref="C51:D51"/>
    <mergeCell ref="C63:D63"/>
    <mergeCell ref="C64:D64"/>
    <mergeCell ref="C65:K65"/>
    <mergeCell ref="C66:D66"/>
    <mergeCell ref="C67:D67"/>
    <mergeCell ref="C58:D58"/>
    <mergeCell ref="C59:D59"/>
    <mergeCell ref="C60:D60"/>
    <mergeCell ref="C61:D61"/>
    <mergeCell ref="C62:K62"/>
    <mergeCell ref="C73:K73"/>
    <mergeCell ref="C74:D74"/>
    <mergeCell ref="C75:K75"/>
    <mergeCell ref="C76:D76"/>
    <mergeCell ref="C77:K77"/>
    <mergeCell ref="C68:D68"/>
    <mergeCell ref="C69:D69"/>
    <mergeCell ref="C70:D70"/>
    <mergeCell ref="C71:D71"/>
    <mergeCell ref="C72:D72"/>
    <mergeCell ref="C83:D83"/>
    <mergeCell ref="C84:D84"/>
    <mergeCell ref="C85:K85"/>
    <mergeCell ref="C86:D86"/>
    <mergeCell ref="C87:K87"/>
    <mergeCell ref="C78:D78"/>
    <mergeCell ref="C79:K79"/>
    <mergeCell ref="C80:D80"/>
    <mergeCell ref="C81:K81"/>
    <mergeCell ref="C82:D82"/>
    <mergeCell ref="C93:D93"/>
    <mergeCell ref="C94:K94"/>
    <mergeCell ref="C95:D95"/>
    <mergeCell ref="C96:K96"/>
    <mergeCell ref="C97:D97"/>
    <mergeCell ref="C88:D88"/>
    <mergeCell ref="C89:D89"/>
    <mergeCell ref="C90:D90"/>
    <mergeCell ref="C91:D91"/>
    <mergeCell ref="C92:D92"/>
    <mergeCell ref="C103:D103"/>
    <mergeCell ref="C106:D106"/>
    <mergeCell ref="C108:D108"/>
    <mergeCell ref="C109:D109"/>
    <mergeCell ref="C110:D110"/>
    <mergeCell ref="C98:D98"/>
    <mergeCell ref="C99:D99"/>
    <mergeCell ref="C100:K100"/>
    <mergeCell ref="C101:D101"/>
    <mergeCell ref="C102:D102"/>
    <mergeCell ref="C116:D116"/>
    <mergeCell ref="C117:D117"/>
    <mergeCell ref="C118:D118"/>
    <mergeCell ref="C119:D119"/>
    <mergeCell ref="C122:D122"/>
    <mergeCell ref="C111:D111"/>
    <mergeCell ref="C112:D112"/>
    <mergeCell ref="C113:D113"/>
    <mergeCell ref="C114:D114"/>
    <mergeCell ref="C115:D115"/>
    <mergeCell ref="C132:K132"/>
    <mergeCell ref="C133:D133"/>
    <mergeCell ref="C136:D136"/>
    <mergeCell ref="C140:D140"/>
    <mergeCell ref="C141:K141"/>
    <mergeCell ref="C125:D125"/>
    <mergeCell ref="C127:D127"/>
    <mergeCell ref="C128:D128"/>
    <mergeCell ref="C129:D129"/>
    <mergeCell ref="C131:D131"/>
    <mergeCell ref="C163:D163"/>
    <mergeCell ref="C166:D166"/>
    <mergeCell ref="C169:D169"/>
    <mergeCell ref="C171:D171"/>
    <mergeCell ref="C173:D173"/>
    <mergeCell ref="C146:D146"/>
    <mergeCell ref="C147:D147"/>
    <mergeCell ref="C156:D156"/>
    <mergeCell ref="C157:D157"/>
    <mergeCell ref="C160:D160"/>
    <mergeCell ref="C183:K183"/>
    <mergeCell ref="C185:D185"/>
    <mergeCell ref="C186:D186"/>
    <mergeCell ref="C188:D188"/>
    <mergeCell ref="C189:D189"/>
    <mergeCell ref="C175:D175"/>
    <mergeCell ref="C179:D179"/>
    <mergeCell ref="C180:K180"/>
    <mergeCell ref="C181:D181"/>
    <mergeCell ref="C182:D182"/>
    <mergeCell ref="H200:I200"/>
    <mergeCell ref="A202:K202"/>
    <mergeCell ref="C195:D195"/>
    <mergeCell ref="C196:D196"/>
    <mergeCell ref="C197:D197"/>
    <mergeCell ref="C198:D198"/>
    <mergeCell ref="C199:D199"/>
    <mergeCell ref="C190:D190"/>
    <mergeCell ref="C191:D191"/>
    <mergeCell ref="C192:D192"/>
    <mergeCell ref="C193:D193"/>
    <mergeCell ref="C194:D194"/>
  </mergeCells>
  <pageMargins left="0.39370078740157483" right="0.39370078740157483" top="0.59055118110236227" bottom="0.59055118110236227" header="0" footer="0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37" sqref="A37:I37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7.109375" customWidth="1"/>
    <col min="4" max="4" width="10" customWidth="1"/>
    <col min="5" max="5" width="14" customWidth="1"/>
    <col min="6" max="6" width="27.109375" customWidth="1"/>
    <col min="7" max="7" width="9.109375" customWidth="1"/>
    <col min="8" max="8" width="12.88671875" customWidth="1"/>
    <col min="9" max="9" width="27.109375" customWidth="1"/>
  </cols>
  <sheetData>
    <row r="1" spans="1:9" ht="54.75" customHeight="1" x14ac:dyDescent="0.3">
      <c r="A1" s="148" t="s">
        <v>485</v>
      </c>
      <c r="B1" s="104"/>
      <c r="C1" s="104"/>
      <c r="D1" s="104"/>
      <c r="E1" s="104"/>
      <c r="F1" s="104"/>
      <c r="G1" s="104"/>
      <c r="H1" s="104"/>
      <c r="I1" s="104"/>
    </row>
    <row r="2" spans="1:9" ht="14.4" x14ac:dyDescent="0.3">
      <c r="A2" s="105" t="s">
        <v>1</v>
      </c>
      <c r="B2" s="92"/>
      <c r="C2" s="109" t="str">
        <f>'Stavební rozpočet'!C2</f>
        <v>PARK U CIHELNY - 1. ETAPA</v>
      </c>
      <c r="D2" s="110"/>
      <c r="E2" s="91" t="s">
        <v>5</v>
      </c>
      <c r="F2" s="91" t="str">
        <f>'Stavební rozpočet'!I2</f>
        <v>Město Ivančice, Palackého nám. 196/6, 664 91 Ivanč</v>
      </c>
      <c r="G2" s="92"/>
      <c r="H2" s="91" t="s">
        <v>486</v>
      </c>
      <c r="I2" s="93" t="s">
        <v>487</v>
      </c>
    </row>
    <row r="3" spans="1:9" ht="15" customHeight="1" x14ac:dyDescent="0.3">
      <c r="A3" s="106"/>
      <c r="B3" s="71"/>
      <c r="C3" s="111"/>
      <c r="D3" s="111"/>
      <c r="E3" s="71"/>
      <c r="F3" s="71"/>
      <c r="G3" s="71"/>
      <c r="H3" s="71"/>
      <c r="I3" s="94"/>
    </row>
    <row r="4" spans="1:9" ht="14.4" x14ac:dyDescent="0.3">
      <c r="A4" s="107" t="s">
        <v>7</v>
      </c>
      <c r="B4" s="71"/>
      <c r="C4" s="70" t="str">
        <f>'Stavební rozpočet'!C4</f>
        <v>Park</v>
      </c>
      <c r="D4" s="71"/>
      <c r="E4" s="70" t="s">
        <v>11</v>
      </c>
      <c r="F4" s="70" t="str">
        <f>'Stavební rozpočet'!I4</f>
        <v>Atelier V8 s.r.o., Vez Zmolách 10, 675 73 Kralice</v>
      </c>
      <c r="G4" s="71"/>
      <c r="H4" s="70" t="s">
        <v>486</v>
      </c>
      <c r="I4" s="94" t="s">
        <v>488</v>
      </c>
    </row>
    <row r="5" spans="1:9" ht="15" customHeight="1" x14ac:dyDescent="0.3">
      <c r="A5" s="106"/>
      <c r="B5" s="71"/>
      <c r="C5" s="71"/>
      <c r="D5" s="71"/>
      <c r="E5" s="71"/>
      <c r="F5" s="71"/>
      <c r="G5" s="71"/>
      <c r="H5" s="71"/>
      <c r="I5" s="94"/>
    </row>
    <row r="6" spans="1:9" ht="14.4" x14ac:dyDescent="0.3">
      <c r="A6" s="107" t="s">
        <v>13</v>
      </c>
      <c r="B6" s="71"/>
      <c r="C6" s="70" t="str">
        <f>'Stavební rozpočet'!C6</f>
        <v>Ivančice</v>
      </c>
      <c r="D6" s="71"/>
      <c r="E6" s="70" t="s">
        <v>16</v>
      </c>
      <c r="F6" s="70" t="str">
        <f>'Stavební rozpočet'!I6</f>
        <v> </v>
      </c>
      <c r="G6" s="71"/>
      <c r="H6" s="70" t="s">
        <v>486</v>
      </c>
      <c r="I6" s="94" t="s">
        <v>52</v>
      </c>
    </row>
    <row r="7" spans="1:9" ht="15" customHeight="1" x14ac:dyDescent="0.3">
      <c r="A7" s="106"/>
      <c r="B7" s="71"/>
      <c r="C7" s="71"/>
      <c r="D7" s="71"/>
      <c r="E7" s="71"/>
      <c r="F7" s="71"/>
      <c r="G7" s="71"/>
      <c r="H7" s="71"/>
      <c r="I7" s="94"/>
    </row>
    <row r="8" spans="1:9" ht="14.4" x14ac:dyDescent="0.3">
      <c r="A8" s="107" t="s">
        <v>9</v>
      </c>
      <c r="B8" s="71"/>
      <c r="C8" s="70" t="str">
        <f>'Stavební rozpočet'!G4</f>
        <v>31.03.2025</v>
      </c>
      <c r="D8" s="71"/>
      <c r="E8" s="70" t="s">
        <v>15</v>
      </c>
      <c r="F8" s="70" t="str">
        <f>'Stavební rozpočet'!G6</f>
        <v xml:space="preserve"> </v>
      </c>
      <c r="G8" s="71"/>
      <c r="H8" s="71" t="s">
        <v>489</v>
      </c>
      <c r="I8" s="149">
        <v>85</v>
      </c>
    </row>
    <row r="9" spans="1:9" ht="14.4" x14ac:dyDescent="0.3">
      <c r="A9" s="106"/>
      <c r="B9" s="71"/>
      <c r="C9" s="71"/>
      <c r="D9" s="71"/>
      <c r="E9" s="71"/>
      <c r="F9" s="71"/>
      <c r="G9" s="71"/>
      <c r="H9" s="71"/>
      <c r="I9" s="94"/>
    </row>
    <row r="10" spans="1:9" ht="14.4" x14ac:dyDescent="0.3">
      <c r="A10" s="107" t="s">
        <v>18</v>
      </c>
      <c r="B10" s="71"/>
      <c r="C10" s="70" t="str">
        <f>'Stavební rozpočet'!C8</f>
        <v>823</v>
      </c>
      <c r="D10" s="71"/>
      <c r="E10" s="70" t="s">
        <v>21</v>
      </c>
      <c r="F10" s="70" t="str">
        <f>'Stavební rozpočet'!I8</f>
        <v>Ing. Jitka Vágnerová</v>
      </c>
      <c r="G10" s="71"/>
      <c r="H10" s="71" t="s">
        <v>490</v>
      </c>
      <c r="I10" s="142" t="str">
        <f>'Stavební rozpočet'!G8</f>
        <v>31.03.2025</v>
      </c>
    </row>
    <row r="11" spans="1:9" ht="14.4" x14ac:dyDescent="0.3">
      <c r="A11" s="147"/>
      <c r="B11" s="75"/>
      <c r="C11" s="75"/>
      <c r="D11" s="75"/>
      <c r="E11" s="75"/>
      <c r="F11" s="75"/>
      <c r="G11" s="75"/>
      <c r="H11" s="75"/>
      <c r="I11" s="143"/>
    </row>
    <row r="12" spans="1:9" ht="22.8" x14ac:dyDescent="0.3">
      <c r="A12" s="144" t="s">
        <v>491</v>
      </c>
      <c r="B12" s="144"/>
      <c r="C12" s="144"/>
      <c r="D12" s="144"/>
      <c r="E12" s="144"/>
      <c r="F12" s="144"/>
      <c r="G12" s="144"/>
      <c r="H12" s="144"/>
      <c r="I12" s="144"/>
    </row>
    <row r="13" spans="1:9" ht="26.25" customHeight="1" x14ac:dyDescent="0.3">
      <c r="A13" s="47" t="s">
        <v>492</v>
      </c>
      <c r="B13" s="145" t="s">
        <v>493</v>
      </c>
      <c r="C13" s="146"/>
      <c r="D13" s="48" t="s">
        <v>494</v>
      </c>
      <c r="E13" s="145" t="s">
        <v>495</v>
      </c>
      <c r="F13" s="146"/>
      <c r="G13" s="48" t="s">
        <v>496</v>
      </c>
      <c r="H13" s="145" t="s">
        <v>497</v>
      </c>
      <c r="I13" s="146"/>
    </row>
    <row r="14" spans="1:9" ht="15.6" x14ac:dyDescent="0.3">
      <c r="A14" s="49" t="s">
        <v>498</v>
      </c>
      <c r="B14" s="50" t="s">
        <v>499</v>
      </c>
      <c r="C14" s="51">
        <f>SUM('Stavební rozpočet'!AB12:AB199)</f>
        <v>0</v>
      </c>
      <c r="D14" s="132" t="s">
        <v>500</v>
      </c>
      <c r="E14" s="133"/>
      <c r="F14" s="51">
        <f>VORN!I15</f>
        <v>0</v>
      </c>
      <c r="G14" s="132" t="s">
        <v>472</v>
      </c>
      <c r="H14" s="133"/>
      <c r="I14" s="52">
        <f>VORN!I21</f>
        <v>0</v>
      </c>
    </row>
    <row r="15" spans="1:9" ht="15.6" x14ac:dyDescent="0.3">
      <c r="A15" s="53" t="s">
        <v>52</v>
      </c>
      <c r="B15" s="50" t="s">
        <v>37</v>
      </c>
      <c r="C15" s="51">
        <f>SUM('Stavební rozpočet'!AC12:AC199)</f>
        <v>0</v>
      </c>
      <c r="D15" s="132" t="s">
        <v>501</v>
      </c>
      <c r="E15" s="133"/>
      <c r="F15" s="51">
        <f>VORN!I16</f>
        <v>0</v>
      </c>
      <c r="G15" s="132" t="s">
        <v>502</v>
      </c>
      <c r="H15" s="133"/>
      <c r="I15" s="52">
        <f>VORN!I22</f>
        <v>0</v>
      </c>
    </row>
    <row r="16" spans="1:9" ht="15.6" x14ac:dyDescent="0.3">
      <c r="A16" s="49" t="s">
        <v>503</v>
      </c>
      <c r="B16" s="50" t="s">
        <v>499</v>
      </c>
      <c r="C16" s="51">
        <f>SUM('Stavební rozpočet'!AD12:AD199)</f>
        <v>0</v>
      </c>
      <c r="D16" s="132" t="s">
        <v>504</v>
      </c>
      <c r="E16" s="133"/>
      <c r="F16" s="51">
        <f>VORN!I17</f>
        <v>0</v>
      </c>
      <c r="G16" s="132" t="s">
        <v>505</v>
      </c>
      <c r="H16" s="133"/>
      <c r="I16" s="52">
        <f>VORN!I23</f>
        <v>0</v>
      </c>
    </row>
    <row r="17" spans="1:9" ht="15.6" x14ac:dyDescent="0.3">
      <c r="A17" s="53" t="s">
        <v>52</v>
      </c>
      <c r="B17" s="50" t="s">
        <v>37</v>
      </c>
      <c r="C17" s="51">
        <f>SUM('Stavební rozpočet'!AE12:AE199)</f>
        <v>0</v>
      </c>
      <c r="D17" s="132" t="s">
        <v>52</v>
      </c>
      <c r="E17" s="133"/>
      <c r="F17" s="52" t="s">
        <v>52</v>
      </c>
      <c r="G17" s="132" t="s">
        <v>506</v>
      </c>
      <c r="H17" s="133"/>
      <c r="I17" s="52">
        <f>VORN!I24</f>
        <v>0</v>
      </c>
    </row>
    <row r="18" spans="1:9" ht="15.6" x14ac:dyDescent="0.3">
      <c r="A18" s="49" t="s">
        <v>507</v>
      </c>
      <c r="B18" s="50" t="s">
        <v>499</v>
      </c>
      <c r="C18" s="51">
        <f>SUM('Stavební rozpočet'!AF12:AF199)</f>
        <v>0</v>
      </c>
      <c r="D18" s="132" t="s">
        <v>52</v>
      </c>
      <c r="E18" s="133"/>
      <c r="F18" s="52" t="s">
        <v>52</v>
      </c>
      <c r="G18" s="132" t="s">
        <v>508</v>
      </c>
      <c r="H18" s="133"/>
      <c r="I18" s="52">
        <f>VORN!I25</f>
        <v>0</v>
      </c>
    </row>
    <row r="19" spans="1:9" ht="15.6" x14ac:dyDescent="0.3">
      <c r="A19" s="53" t="s">
        <v>52</v>
      </c>
      <c r="B19" s="50" t="s">
        <v>37</v>
      </c>
      <c r="C19" s="51">
        <f>SUM('Stavební rozpočet'!AG12:AG199)</f>
        <v>0</v>
      </c>
      <c r="D19" s="132" t="s">
        <v>52</v>
      </c>
      <c r="E19" s="133"/>
      <c r="F19" s="52" t="s">
        <v>52</v>
      </c>
      <c r="G19" s="132" t="s">
        <v>509</v>
      </c>
      <c r="H19" s="133"/>
      <c r="I19" s="52">
        <f>VORN!I26</f>
        <v>0</v>
      </c>
    </row>
    <row r="20" spans="1:9" ht="15.6" x14ac:dyDescent="0.3">
      <c r="A20" s="124" t="s">
        <v>510</v>
      </c>
      <c r="B20" s="125"/>
      <c r="C20" s="51">
        <f>SUM('Stavební rozpočet'!AH12:AH199)</f>
        <v>0</v>
      </c>
      <c r="D20" s="132" t="s">
        <v>52</v>
      </c>
      <c r="E20" s="133"/>
      <c r="F20" s="52" t="s">
        <v>52</v>
      </c>
      <c r="G20" s="132" t="s">
        <v>52</v>
      </c>
      <c r="H20" s="133"/>
      <c r="I20" s="52" t="s">
        <v>52</v>
      </c>
    </row>
    <row r="21" spans="1:9" ht="15.6" x14ac:dyDescent="0.3">
      <c r="A21" s="139" t="s">
        <v>511</v>
      </c>
      <c r="B21" s="140"/>
      <c r="C21" s="54">
        <f>SUM('Stavební rozpočet'!Z12:Z199)</f>
        <v>0</v>
      </c>
      <c r="D21" s="134" t="s">
        <v>52</v>
      </c>
      <c r="E21" s="135"/>
      <c r="F21" s="55" t="s">
        <v>52</v>
      </c>
      <c r="G21" s="134" t="s">
        <v>52</v>
      </c>
      <c r="H21" s="135"/>
      <c r="I21" s="55" t="s">
        <v>52</v>
      </c>
    </row>
    <row r="22" spans="1:9" ht="16.5" customHeight="1" x14ac:dyDescent="0.3">
      <c r="A22" s="141" t="s">
        <v>512</v>
      </c>
      <c r="B22" s="137"/>
      <c r="C22" s="56">
        <f>ROUND(SUM(C14:C21),1)</f>
        <v>0</v>
      </c>
      <c r="D22" s="136" t="s">
        <v>513</v>
      </c>
      <c r="E22" s="137"/>
      <c r="F22" s="56">
        <f>SUM(F14:F21)</f>
        <v>0</v>
      </c>
      <c r="G22" s="136" t="s">
        <v>514</v>
      </c>
      <c r="H22" s="137"/>
      <c r="I22" s="56">
        <f>SUM(I14:I21)</f>
        <v>0</v>
      </c>
    </row>
    <row r="23" spans="1:9" ht="15.6" x14ac:dyDescent="0.3">
      <c r="D23" s="124" t="s">
        <v>515</v>
      </c>
      <c r="E23" s="125"/>
      <c r="F23" s="57">
        <v>0</v>
      </c>
      <c r="G23" s="138" t="s">
        <v>516</v>
      </c>
      <c r="H23" s="125"/>
      <c r="I23" s="51">
        <v>0</v>
      </c>
    </row>
    <row r="24" spans="1:9" ht="15.6" x14ac:dyDescent="0.3">
      <c r="G24" s="124" t="s">
        <v>517</v>
      </c>
      <c r="H24" s="125"/>
      <c r="I24" s="54">
        <f>vorn_sum</f>
        <v>0</v>
      </c>
    </row>
    <row r="25" spans="1:9" ht="15.6" x14ac:dyDescent="0.3">
      <c r="G25" s="124" t="s">
        <v>518</v>
      </c>
      <c r="H25" s="125"/>
      <c r="I25" s="56">
        <v>0</v>
      </c>
    </row>
    <row r="27" spans="1:9" ht="15.6" x14ac:dyDescent="0.3">
      <c r="A27" s="126" t="s">
        <v>519</v>
      </c>
      <c r="B27" s="127"/>
      <c r="C27" s="58">
        <f>ROUND(SUM('Stavební rozpočet'!AJ12:AJ199),1)</f>
        <v>0</v>
      </c>
    </row>
    <row r="28" spans="1:9" ht="15.6" x14ac:dyDescent="0.3">
      <c r="A28" s="128" t="s">
        <v>520</v>
      </c>
      <c r="B28" s="129"/>
      <c r="C28" s="59">
        <f>ROUND(SUM('Stavební rozpočet'!AK12:AK199),1)</f>
        <v>0</v>
      </c>
      <c r="D28" s="130" t="s">
        <v>521</v>
      </c>
      <c r="E28" s="127"/>
      <c r="F28" s="58">
        <f>ROUND(C28*(12/100),2)</f>
        <v>0</v>
      </c>
      <c r="G28" s="130" t="s">
        <v>522</v>
      </c>
      <c r="H28" s="127"/>
      <c r="I28" s="58">
        <f>ROUND(SUM(C27:C29),1)</f>
        <v>0</v>
      </c>
    </row>
    <row r="29" spans="1:9" ht="15.6" x14ac:dyDescent="0.3">
      <c r="A29" s="128" t="s">
        <v>523</v>
      </c>
      <c r="B29" s="129"/>
      <c r="C29" s="59">
        <f>ROUND(SUM('Stavební rozpočet'!AL12:AL199),1)</f>
        <v>0</v>
      </c>
      <c r="D29" s="131" t="s">
        <v>524</v>
      </c>
      <c r="E29" s="129"/>
      <c r="F29" s="59">
        <f>ROUND(C29*(21/100),2)</f>
        <v>0</v>
      </c>
      <c r="G29" s="131" t="s">
        <v>525</v>
      </c>
      <c r="H29" s="129"/>
      <c r="I29" s="59">
        <f>ROUND(SUM(F28:F29)+I28,1)</f>
        <v>0</v>
      </c>
    </row>
    <row r="31" spans="1:9" x14ac:dyDescent="0.3">
      <c r="A31" s="121" t="s">
        <v>526</v>
      </c>
      <c r="B31" s="113"/>
      <c r="C31" s="114"/>
      <c r="D31" s="112" t="s">
        <v>527</v>
      </c>
      <c r="E31" s="113"/>
      <c r="F31" s="114"/>
      <c r="G31" s="112" t="s">
        <v>528</v>
      </c>
      <c r="H31" s="113"/>
      <c r="I31" s="114"/>
    </row>
    <row r="32" spans="1:9" x14ac:dyDescent="0.3">
      <c r="A32" s="122" t="s">
        <v>52</v>
      </c>
      <c r="B32" s="116"/>
      <c r="C32" s="117"/>
      <c r="D32" s="115" t="s">
        <v>52</v>
      </c>
      <c r="E32" s="116"/>
      <c r="F32" s="117"/>
      <c r="G32" s="115" t="s">
        <v>52</v>
      </c>
      <c r="H32" s="116"/>
      <c r="I32" s="117"/>
    </row>
    <row r="33" spans="1:9" x14ac:dyDescent="0.3">
      <c r="A33" s="122" t="s">
        <v>52</v>
      </c>
      <c r="B33" s="116"/>
      <c r="C33" s="117"/>
      <c r="D33" s="115" t="s">
        <v>52</v>
      </c>
      <c r="E33" s="116"/>
      <c r="F33" s="117"/>
      <c r="G33" s="115" t="s">
        <v>52</v>
      </c>
      <c r="H33" s="116"/>
      <c r="I33" s="117"/>
    </row>
    <row r="34" spans="1:9" x14ac:dyDescent="0.3">
      <c r="A34" s="122" t="s">
        <v>52</v>
      </c>
      <c r="B34" s="116"/>
      <c r="C34" s="117"/>
      <c r="D34" s="115" t="s">
        <v>52</v>
      </c>
      <c r="E34" s="116"/>
      <c r="F34" s="117"/>
      <c r="G34" s="115" t="s">
        <v>52</v>
      </c>
      <c r="H34" s="116"/>
      <c r="I34" s="117"/>
    </row>
    <row r="35" spans="1:9" x14ac:dyDescent="0.3">
      <c r="A35" s="123" t="s">
        <v>529</v>
      </c>
      <c r="B35" s="119"/>
      <c r="C35" s="120"/>
      <c r="D35" s="118" t="s">
        <v>529</v>
      </c>
      <c r="E35" s="119"/>
      <c r="F35" s="120"/>
      <c r="G35" s="118" t="s">
        <v>529</v>
      </c>
      <c r="H35" s="119"/>
      <c r="I35" s="120"/>
    </row>
    <row r="36" spans="1:9" ht="14.4" x14ac:dyDescent="0.3">
      <c r="A36" s="60" t="s">
        <v>484</v>
      </c>
    </row>
    <row r="37" spans="1:9" ht="12.75" customHeight="1" x14ac:dyDescent="0.3">
      <c r="A37" s="70" t="s">
        <v>52</v>
      </c>
      <c r="B37" s="71"/>
      <c r="C37" s="71"/>
      <c r="D37" s="71"/>
      <c r="E37" s="71"/>
      <c r="F37" s="71"/>
      <c r="G37" s="71"/>
      <c r="H37" s="71"/>
      <c r="I37" s="71"/>
    </row>
  </sheetData>
  <sheetProtection password="ECBE" sheet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paperSize="9" scale="8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9" ht="54.75" customHeight="1" x14ac:dyDescent="0.3">
      <c r="A1" s="148" t="s">
        <v>453</v>
      </c>
      <c r="B1" s="104"/>
      <c r="C1" s="104"/>
      <c r="D1" s="104"/>
      <c r="E1" s="104"/>
      <c r="F1" s="104"/>
      <c r="G1" s="104"/>
      <c r="H1" s="104"/>
      <c r="I1" s="104"/>
    </row>
    <row r="2" spans="1:9" ht="14.4" x14ac:dyDescent="0.3">
      <c r="A2" s="105" t="s">
        <v>1</v>
      </c>
      <c r="B2" s="92"/>
      <c r="C2" s="109" t="str">
        <f>'Stavební rozpočet'!C2</f>
        <v>PARK U CIHELNY - 1. ETAPA</v>
      </c>
      <c r="D2" s="110"/>
      <c r="E2" s="91" t="s">
        <v>5</v>
      </c>
      <c r="F2" s="91" t="str">
        <f>'Stavební rozpočet'!I2</f>
        <v>Město Ivančice, Palackého nám. 196/6, 664 91 Ivanč</v>
      </c>
      <c r="G2" s="92"/>
      <c r="H2" s="91" t="s">
        <v>486</v>
      </c>
      <c r="I2" s="93" t="s">
        <v>487</v>
      </c>
    </row>
    <row r="3" spans="1:9" ht="15" customHeight="1" x14ac:dyDescent="0.3">
      <c r="A3" s="106"/>
      <c r="B3" s="71"/>
      <c r="C3" s="111"/>
      <c r="D3" s="111"/>
      <c r="E3" s="71"/>
      <c r="F3" s="71"/>
      <c r="G3" s="71"/>
      <c r="H3" s="71"/>
      <c r="I3" s="94"/>
    </row>
    <row r="4" spans="1:9" ht="14.4" x14ac:dyDescent="0.3">
      <c r="A4" s="107" t="s">
        <v>7</v>
      </c>
      <c r="B4" s="71"/>
      <c r="C4" s="70" t="str">
        <f>'Stavební rozpočet'!C4</f>
        <v>Park</v>
      </c>
      <c r="D4" s="71"/>
      <c r="E4" s="70" t="s">
        <v>11</v>
      </c>
      <c r="F4" s="70" t="str">
        <f>'Stavební rozpočet'!I4</f>
        <v>Atelier V8 s.r.o., Vez Zmolách 10, 675 73 Kralice</v>
      </c>
      <c r="G4" s="71"/>
      <c r="H4" s="70" t="s">
        <v>486</v>
      </c>
      <c r="I4" s="94" t="s">
        <v>488</v>
      </c>
    </row>
    <row r="5" spans="1:9" ht="15" customHeight="1" x14ac:dyDescent="0.3">
      <c r="A5" s="106"/>
      <c r="B5" s="71"/>
      <c r="C5" s="71"/>
      <c r="D5" s="71"/>
      <c r="E5" s="71"/>
      <c r="F5" s="71"/>
      <c r="G5" s="71"/>
      <c r="H5" s="71"/>
      <c r="I5" s="94"/>
    </row>
    <row r="6" spans="1:9" ht="14.4" x14ac:dyDescent="0.3">
      <c r="A6" s="107" t="s">
        <v>13</v>
      </c>
      <c r="B6" s="71"/>
      <c r="C6" s="70" t="str">
        <f>'Stavební rozpočet'!C6</f>
        <v>Ivančice</v>
      </c>
      <c r="D6" s="71"/>
      <c r="E6" s="70" t="s">
        <v>16</v>
      </c>
      <c r="F6" s="70" t="str">
        <f>'Stavební rozpočet'!I6</f>
        <v> </v>
      </c>
      <c r="G6" s="71"/>
      <c r="H6" s="70" t="s">
        <v>486</v>
      </c>
      <c r="I6" s="94" t="s">
        <v>52</v>
      </c>
    </row>
    <row r="7" spans="1:9" ht="15" customHeight="1" x14ac:dyDescent="0.3">
      <c r="A7" s="106"/>
      <c r="B7" s="71"/>
      <c r="C7" s="71"/>
      <c r="D7" s="71"/>
      <c r="E7" s="71"/>
      <c r="F7" s="71"/>
      <c r="G7" s="71"/>
      <c r="H7" s="71"/>
      <c r="I7" s="94"/>
    </row>
    <row r="8" spans="1:9" ht="14.4" x14ac:dyDescent="0.3">
      <c r="A8" s="107" t="s">
        <v>9</v>
      </c>
      <c r="B8" s="71"/>
      <c r="C8" s="70" t="str">
        <f>'Stavební rozpočet'!G4</f>
        <v>31.03.2025</v>
      </c>
      <c r="D8" s="71"/>
      <c r="E8" s="70" t="s">
        <v>15</v>
      </c>
      <c r="F8" s="70" t="str">
        <f>'Stavební rozpočet'!G6</f>
        <v xml:space="preserve"> </v>
      </c>
      <c r="G8" s="71"/>
      <c r="H8" s="71" t="s">
        <v>489</v>
      </c>
      <c r="I8" s="149">
        <v>85</v>
      </c>
    </row>
    <row r="9" spans="1:9" ht="14.4" x14ac:dyDescent="0.3">
      <c r="A9" s="106"/>
      <c r="B9" s="71"/>
      <c r="C9" s="71"/>
      <c r="D9" s="71"/>
      <c r="E9" s="71"/>
      <c r="F9" s="71"/>
      <c r="G9" s="71"/>
      <c r="H9" s="71"/>
      <c r="I9" s="94"/>
    </row>
    <row r="10" spans="1:9" ht="14.4" x14ac:dyDescent="0.3">
      <c r="A10" s="107" t="s">
        <v>18</v>
      </c>
      <c r="B10" s="71"/>
      <c r="C10" s="70" t="str">
        <f>'Stavební rozpočet'!C8</f>
        <v>823</v>
      </c>
      <c r="D10" s="71"/>
      <c r="E10" s="70" t="s">
        <v>21</v>
      </c>
      <c r="F10" s="70" t="str">
        <f>'Stavební rozpočet'!I8</f>
        <v>Ing. Jitka Vágnerová</v>
      </c>
      <c r="G10" s="71"/>
      <c r="H10" s="71" t="s">
        <v>490</v>
      </c>
      <c r="I10" s="142" t="str">
        <f>'Stavební rozpočet'!G8</f>
        <v>31.03.2025</v>
      </c>
    </row>
    <row r="11" spans="1:9" ht="14.4" x14ac:dyDescent="0.3">
      <c r="A11" s="147"/>
      <c r="B11" s="75"/>
      <c r="C11" s="75"/>
      <c r="D11" s="75"/>
      <c r="E11" s="75"/>
      <c r="F11" s="75"/>
      <c r="G11" s="75"/>
      <c r="H11" s="75"/>
      <c r="I11" s="143"/>
    </row>
    <row r="13" spans="1:9" ht="15.6" x14ac:dyDescent="0.3">
      <c r="A13" s="165" t="s">
        <v>530</v>
      </c>
      <c r="B13" s="165"/>
      <c r="C13" s="165"/>
      <c r="D13" s="165"/>
      <c r="E13" s="165"/>
    </row>
    <row r="14" spans="1:9" ht="14.4" x14ac:dyDescent="0.3">
      <c r="A14" s="166" t="s">
        <v>531</v>
      </c>
      <c r="B14" s="167"/>
      <c r="C14" s="167"/>
      <c r="D14" s="167"/>
      <c r="E14" s="168"/>
      <c r="F14" s="61" t="s">
        <v>532</v>
      </c>
      <c r="G14" s="61" t="s">
        <v>533</v>
      </c>
      <c r="H14" s="61" t="s">
        <v>534</v>
      </c>
      <c r="I14" s="61" t="s">
        <v>532</v>
      </c>
    </row>
    <row r="15" spans="1:9" ht="14.4" x14ac:dyDescent="0.3">
      <c r="A15" s="150" t="s">
        <v>500</v>
      </c>
      <c r="B15" s="151"/>
      <c r="C15" s="151"/>
      <c r="D15" s="151"/>
      <c r="E15" s="152"/>
      <c r="F15" s="62">
        <v>0</v>
      </c>
      <c r="G15" s="63" t="s">
        <v>52</v>
      </c>
      <c r="H15" s="63" t="s">
        <v>52</v>
      </c>
      <c r="I15" s="62">
        <f>F15</f>
        <v>0</v>
      </c>
    </row>
    <row r="16" spans="1:9" ht="14.4" x14ac:dyDescent="0.3">
      <c r="A16" s="150" t="s">
        <v>501</v>
      </c>
      <c r="B16" s="151"/>
      <c r="C16" s="151"/>
      <c r="D16" s="151"/>
      <c r="E16" s="152"/>
      <c r="F16" s="62">
        <v>0</v>
      </c>
      <c r="G16" s="63" t="s">
        <v>52</v>
      </c>
      <c r="H16" s="63" t="s">
        <v>52</v>
      </c>
      <c r="I16" s="62">
        <f>F16</f>
        <v>0</v>
      </c>
    </row>
    <row r="17" spans="1:9" ht="14.4" x14ac:dyDescent="0.3">
      <c r="A17" s="153" t="s">
        <v>504</v>
      </c>
      <c r="B17" s="154"/>
      <c r="C17" s="154"/>
      <c r="D17" s="154"/>
      <c r="E17" s="155"/>
      <c r="F17" s="64">
        <v>0</v>
      </c>
      <c r="G17" s="65" t="s">
        <v>52</v>
      </c>
      <c r="H17" s="65" t="s">
        <v>52</v>
      </c>
      <c r="I17" s="64">
        <f>F17</f>
        <v>0</v>
      </c>
    </row>
    <row r="18" spans="1:9" ht="14.4" x14ac:dyDescent="0.3">
      <c r="A18" s="156" t="s">
        <v>535</v>
      </c>
      <c r="B18" s="157"/>
      <c r="C18" s="157"/>
      <c r="D18" s="157"/>
      <c r="E18" s="158"/>
      <c r="F18" s="66" t="s">
        <v>52</v>
      </c>
      <c r="G18" s="67" t="s">
        <v>52</v>
      </c>
      <c r="H18" s="67" t="s">
        <v>52</v>
      </c>
      <c r="I18" s="68">
        <f>SUM(I15:I17)</f>
        <v>0</v>
      </c>
    </row>
    <row r="20" spans="1:9" ht="14.4" x14ac:dyDescent="0.3">
      <c r="A20" s="166" t="s">
        <v>497</v>
      </c>
      <c r="B20" s="167"/>
      <c r="C20" s="167"/>
      <c r="D20" s="167"/>
      <c r="E20" s="168"/>
      <c r="F20" s="61" t="s">
        <v>532</v>
      </c>
      <c r="G20" s="61" t="s">
        <v>533</v>
      </c>
      <c r="H20" s="61" t="s">
        <v>534</v>
      </c>
      <c r="I20" s="61" t="s">
        <v>532</v>
      </c>
    </row>
    <row r="21" spans="1:9" ht="14.4" x14ac:dyDescent="0.3">
      <c r="A21" s="150" t="s">
        <v>472</v>
      </c>
      <c r="B21" s="151"/>
      <c r="C21" s="151"/>
      <c r="D21" s="151"/>
      <c r="E21" s="152"/>
      <c r="F21" s="62">
        <v>0</v>
      </c>
      <c r="G21" s="63" t="s">
        <v>52</v>
      </c>
      <c r="H21" s="63" t="s">
        <v>52</v>
      </c>
      <c r="I21" s="62">
        <f t="shared" ref="I21:I26" si="0">F21</f>
        <v>0</v>
      </c>
    </row>
    <row r="22" spans="1:9" ht="14.4" x14ac:dyDescent="0.3">
      <c r="A22" s="150" t="s">
        <v>502</v>
      </c>
      <c r="B22" s="151"/>
      <c r="C22" s="151"/>
      <c r="D22" s="151"/>
      <c r="E22" s="152"/>
      <c r="F22" s="62">
        <v>0</v>
      </c>
      <c r="G22" s="63" t="s">
        <v>52</v>
      </c>
      <c r="H22" s="63" t="s">
        <v>52</v>
      </c>
      <c r="I22" s="62">
        <f t="shared" si="0"/>
        <v>0</v>
      </c>
    </row>
    <row r="23" spans="1:9" ht="14.4" x14ac:dyDescent="0.3">
      <c r="A23" s="150" t="s">
        <v>505</v>
      </c>
      <c r="B23" s="151"/>
      <c r="C23" s="151"/>
      <c r="D23" s="151"/>
      <c r="E23" s="152"/>
      <c r="F23" s="62">
        <v>0</v>
      </c>
      <c r="G23" s="63" t="s">
        <v>52</v>
      </c>
      <c r="H23" s="63" t="s">
        <v>52</v>
      </c>
      <c r="I23" s="62">
        <f t="shared" si="0"/>
        <v>0</v>
      </c>
    </row>
    <row r="24" spans="1:9" ht="14.4" x14ac:dyDescent="0.3">
      <c r="A24" s="150" t="s">
        <v>506</v>
      </c>
      <c r="B24" s="151"/>
      <c r="C24" s="151"/>
      <c r="D24" s="151"/>
      <c r="E24" s="152"/>
      <c r="F24" s="62">
        <v>0</v>
      </c>
      <c r="G24" s="63" t="s">
        <v>52</v>
      </c>
      <c r="H24" s="63" t="s">
        <v>52</v>
      </c>
      <c r="I24" s="62">
        <f t="shared" si="0"/>
        <v>0</v>
      </c>
    </row>
    <row r="25" spans="1:9" ht="14.4" x14ac:dyDescent="0.3">
      <c r="A25" s="150" t="s">
        <v>508</v>
      </c>
      <c r="B25" s="151"/>
      <c r="C25" s="151"/>
      <c r="D25" s="151"/>
      <c r="E25" s="152"/>
      <c r="F25" s="62">
        <v>0</v>
      </c>
      <c r="G25" s="63" t="s">
        <v>52</v>
      </c>
      <c r="H25" s="63" t="s">
        <v>52</v>
      </c>
      <c r="I25" s="62">
        <f t="shared" si="0"/>
        <v>0</v>
      </c>
    </row>
    <row r="26" spans="1:9" ht="14.4" x14ac:dyDescent="0.3">
      <c r="A26" s="153" t="s">
        <v>509</v>
      </c>
      <c r="B26" s="154"/>
      <c r="C26" s="154"/>
      <c r="D26" s="154"/>
      <c r="E26" s="155"/>
      <c r="F26" s="64">
        <v>0</v>
      </c>
      <c r="G26" s="65" t="s">
        <v>52</v>
      </c>
      <c r="H26" s="65" t="s">
        <v>52</v>
      </c>
      <c r="I26" s="64">
        <f t="shared" si="0"/>
        <v>0</v>
      </c>
    </row>
    <row r="27" spans="1:9" ht="14.4" x14ac:dyDescent="0.3">
      <c r="A27" s="156" t="s">
        <v>536</v>
      </c>
      <c r="B27" s="157"/>
      <c r="C27" s="157"/>
      <c r="D27" s="157"/>
      <c r="E27" s="158"/>
      <c r="F27" s="66" t="s">
        <v>52</v>
      </c>
      <c r="G27" s="67" t="s">
        <v>52</v>
      </c>
      <c r="H27" s="67" t="s">
        <v>52</v>
      </c>
      <c r="I27" s="68">
        <f>SUM(I21:I26)</f>
        <v>0</v>
      </c>
    </row>
    <row r="29" spans="1:9" ht="15.6" x14ac:dyDescent="0.3">
      <c r="A29" s="159" t="s">
        <v>537</v>
      </c>
      <c r="B29" s="160"/>
      <c r="C29" s="160"/>
      <c r="D29" s="160"/>
      <c r="E29" s="161"/>
      <c r="F29" s="162">
        <f>I18+I27</f>
        <v>0</v>
      </c>
      <c r="G29" s="163"/>
      <c r="H29" s="163"/>
      <c r="I29" s="164"/>
    </row>
    <row r="33" spans="1:9" ht="15.6" x14ac:dyDescent="0.3">
      <c r="A33" s="165" t="s">
        <v>538</v>
      </c>
      <c r="B33" s="165"/>
      <c r="C33" s="165"/>
      <c r="D33" s="165"/>
      <c r="E33" s="165"/>
    </row>
    <row r="34" spans="1:9" ht="14.4" x14ac:dyDescent="0.3">
      <c r="A34" s="166" t="s">
        <v>539</v>
      </c>
      <c r="B34" s="167"/>
      <c r="C34" s="167"/>
      <c r="D34" s="167"/>
      <c r="E34" s="168"/>
      <c r="F34" s="61" t="s">
        <v>532</v>
      </c>
      <c r="G34" s="61" t="s">
        <v>533</v>
      </c>
      <c r="H34" s="61" t="s">
        <v>534</v>
      </c>
      <c r="I34" s="61" t="s">
        <v>532</v>
      </c>
    </row>
    <row r="35" spans="1:9" ht="14.4" x14ac:dyDescent="0.3">
      <c r="A35" s="150" t="s">
        <v>455</v>
      </c>
      <c r="B35" s="151"/>
      <c r="C35" s="151"/>
      <c r="D35" s="151"/>
      <c r="E35" s="152"/>
      <c r="F35" s="62">
        <f>SUM('Stavební rozpočet'!BM12:BM199)</f>
        <v>0</v>
      </c>
      <c r="G35" s="63" t="s">
        <v>52</v>
      </c>
      <c r="H35" s="63" t="s">
        <v>52</v>
      </c>
      <c r="I35" s="62">
        <f t="shared" ref="I35:I44" si="1">F35</f>
        <v>0</v>
      </c>
    </row>
    <row r="36" spans="1:9" ht="14.4" x14ac:dyDescent="0.3">
      <c r="A36" s="150" t="s">
        <v>540</v>
      </c>
      <c r="B36" s="151"/>
      <c r="C36" s="151"/>
      <c r="D36" s="151"/>
      <c r="E36" s="152"/>
      <c r="F36" s="62">
        <f>SUM('Stavební rozpočet'!BN12:BN199)</f>
        <v>0</v>
      </c>
      <c r="G36" s="63" t="s">
        <v>52</v>
      </c>
      <c r="H36" s="63" t="s">
        <v>52</v>
      </c>
      <c r="I36" s="62">
        <f t="shared" si="1"/>
        <v>0</v>
      </c>
    </row>
    <row r="37" spans="1:9" ht="14.4" x14ac:dyDescent="0.3">
      <c r="A37" s="150" t="s">
        <v>472</v>
      </c>
      <c r="B37" s="151"/>
      <c r="C37" s="151"/>
      <c r="D37" s="151"/>
      <c r="E37" s="152"/>
      <c r="F37" s="62">
        <f>SUM('Stavební rozpočet'!BO12:BO199)</f>
        <v>0</v>
      </c>
      <c r="G37" s="63" t="s">
        <v>52</v>
      </c>
      <c r="H37" s="63" t="s">
        <v>52</v>
      </c>
      <c r="I37" s="62">
        <f t="shared" si="1"/>
        <v>0</v>
      </c>
    </row>
    <row r="38" spans="1:9" ht="14.4" x14ac:dyDescent="0.3">
      <c r="A38" s="150" t="s">
        <v>541</v>
      </c>
      <c r="B38" s="151"/>
      <c r="C38" s="151"/>
      <c r="D38" s="151"/>
      <c r="E38" s="152"/>
      <c r="F38" s="62">
        <f>SUM('Stavební rozpočet'!BP12:BP199)</f>
        <v>0</v>
      </c>
      <c r="G38" s="63" t="s">
        <v>52</v>
      </c>
      <c r="H38" s="63" t="s">
        <v>52</v>
      </c>
      <c r="I38" s="62">
        <f t="shared" si="1"/>
        <v>0</v>
      </c>
    </row>
    <row r="39" spans="1:9" ht="14.4" x14ac:dyDescent="0.3">
      <c r="A39" s="150" t="s">
        <v>542</v>
      </c>
      <c r="B39" s="151"/>
      <c r="C39" s="151"/>
      <c r="D39" s="151"/>
      <c r="E39" s="152"/>
      <c r="F39" s="62">
        <f>SUM('Stavební rozpočet'!BQ12:BQ199)</f>
        <v>0</v>
      </c>
      <c r="G39" s="63" t="s">
        <v>52</v>
      </c>
      <c r="H39" s="63" t="s">
        <v>52</v>
      </c>
      <c r="I39" s="62">
        <f t="shared" si="1"/>
        <v>0</v>
      </c>
    </row>
    <row r="40" spans="1:9" ht="14.4" x14ac:dyDescent="0.3">
      <c r="A40" s="150" t="s">
        <v>505</v>
      </c>
      <c r="B40" s="151"/>
      <c r="C40" s="151"/>
      <c r="D40" s="151"/>
      <c r="E40" s="152"/>
      <c r="F40" s="62">
        <f>SUM('Stavební rozpočet'!BR12:BR199)</f>
        <v>0</v>
      </c>
      <c r="G40" s="63" t="s">
        <v>52</v>
      </c>
      <c r="H40" s="63" t="s">
        <v>52</v>
      </c>
      <c r="I40" s="62">
        <f t="shared" si="1"/>
        <v>0</v>
      </c>
    </row>
    <row r="41" spans="1:9" ht="14.4" x14ac:dyDescent="0.3">
      <c r="A41" s="150" t="s">
        <v>506</v>
      </c>
      <c r="B41" s="151"/>
      <c r="C41" s="151"/>
      <c r="D41" s="151"/>
      <c r="E41" s="152"/>
      <c r="F41" s="62">
        <f>SUM('Stavební rozpočet'!BS12:BS199)</f>
        <v>0</v>
      </c>
      <c r="G41" s="63" t="s">
        <v>52</v>
      </c>
      <c r="H41" s="63" t="s">
        <v>52</v>
      </c>
      <c r="I41" s="62">
        <f t="shared" si="1"/>
        <v>0</v>
      </c>
    </row>
    <row r="42" spans="1:9" ht="14.4" x14ac:dyDescent="0.3">
      <c r="A42" s="150" t="s">
        <v>543</v>
      </c>
      <c r="B42" s="151"/>
      <c r="C42" s="151"/>
      <c r="D42" s="151"/>
      <c r="E42" s="152"/>
      <c r="F42" s="62">
        <f>SUM('Stavební rozpočet'!BT12:BT199)</f>
        <v>0</v>
      </c>
      <c r="G42" s="63" t="s">
        <v>52</v>
      </c>
      <c r="H42" s="63" t="s">
        <v>52</v>
      </c>
      <c r="I42" s="62">
        <f t="shared" si="1"/>
        <v>0</v>
      </c>
    </row>
    <row r="43" spans="1:9" ht="14.4" x14ac:dyDescent="0.3">
      <c r="A43" s="150" t="s">
        <v>478</v>
      </c>
      <c r="B43" s="151"/>
      <c r="C43" s="151"/>
      <c r="D43" s="151"/>
      <c r="E43" s="152"/>
      <c r="F43" s="62">
        <f>SUM('Stavební rozpočet'!BU12:BU199)</f>
        <v>0</v>
      </c>
      <c r="G43" s="63" t="s">
        <v>52</v>
      </c>
      <c r="H43" s="63" t="s">
        <v>52</v>
      </c>
      <c r="I43" s="62">
        <f t="shared" si="1"/>
        <v>0</v>
      </c>
    </row>
    <row r="44" spans="1:9" ht="14.4" x14ac:dyDescent="0.3">
      <c r="A44" s="153" t="s">
        <v>544</v>
      </c>
      <c r="B44" s="154"/>
      <c r="C44" s="154"/>
      <c r="D44" s="154"/>
      <c r="E44" s="155"/>
      <c r="F44" s="64">
        <f>SUM('Stavební rozpočet'!BV12:BV199)</f>
        <v>0</v>
      </c>
      <c r="G44" s="65" t="s">
        <v>52</v>
      </c>
      <c r="H44" s="65" t="s">
        <v>52</v>
      </c>
      <c r="I44" s="64">
        <f t="shared" si="1"/>
        <v>0</v>
      </c>
    </row>
    <row r="45" spans="1:9" ht="14.4" x14ac:dyDescent="0.3">
      <c r="A45" s="156" t="s">
        <v>545</v>
      </c>
      <c r="B45" s="157"/>
      <c r="C45" s="157"/>
      <c r="D45" s="157"/>
      <c r="E45" s="158"/>
      <c r="F45" s="66" t="s">
        <v>52</v>
      </c>
      <c r="G45" s="67" t="s">
        <v>52</v>
      </c>
      <c r="H45" s="67" t="s">
        <v>52</v>
      </c>
      <c r="I45" s="68">
        <f>SUM(I35:I44)</f>
        <v>0</v>
      </c>
    </row>
  </sheetData>
  <sheetProtection password="ECBE" sheet="1"/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scale="9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rozpočet'!Názvy_tisku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Jitka Vágnerová</cp:lastModifiedBy>
  <cp:lastPrinted>2025-03-31T13:05:02Z</cp:lastPrinted>
  <dcterms:created xsi:type="dcterms:W3CDTF">2021-06-10T20:06:38Z</dcterms:created>
  <dcterms:modified xsi:type="dcterms:W3CDTF">2025-04-07T05:25:11Z</dcterms:modified>
</cp:coreProperties>
</file>